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H:\22. BIA\Fee-Setting\ON\PPP\Fee-setting 2022\4-Step Model\FINAL\To publish\Password protected\"/>
    </mc:Choice>
  </mc:AlternateContent>
  <xr:revisionPtr revIDLastSave="0" documentId="13_ncr:1_{7815529E-7C9C-46B6-B4F2-BCEA4246ADF4}" xr6:coauthVersionLast="47" xr6:coauthVersionMax="47" xr10:uidLastSave="{00000000-0000-0000-0000-000000000000}"/>
  <bookViews>
    <workbookView xWindow="-109" yWindow="-109" windowWidth="26301" windowHeight="14305" tabRatio="893" xr2:uid="{00000000-000D-0000-FFFF-FFFF00000000}"/>
  </bookViews>
  <sheets>
    <sheet name="Fee Schedule" sheetId="5" r:id="rId1"/>
    <sheet name="Introduction" sheetId="10" r:id="rId2"/>
    <sheet name="Glossary" sheetId="11" r:id="rId3"/>
    <sheet name="Fee Methodology" sheetId="7" r:id="rId4"/>
    <sheet name="Model" sheetId="3" r:id="rId5"/>
  </sheets>
  <definedNames>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4</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"ZEXWJQXMG2G1E19FCFFI4CZ9"</definedName>
    <definedName name="PalisadeReportWorkbookCreatedBy">"AtRisk"</definedName>
    <definedName name="_xlnm.Print_Area" localSheetId="4">Model!$A$1:$AE$39</definedName>
    <definedName name="_xlnm.Print_Titles" localSheetId="4">Model!$A:$C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60</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4" hidden="1">Model!#REF!</definedName>
    <definedName name="solver_cvg" localSheetId="4" hidden="1">0.0001</definedName>
    <definedName name="solver_drv" localSheetId="4" hidden="1">2</definedName>
    <definedName name="solver_eng" localSheetId="4" hidden="1">1</definedName>
    <definedName name="solver_est" localSheetId="4" hidden="1">1</definedName>
    <definedName name="solver_itr" localSheetId="4" hidden="1">2147483647</definedName>
    <definedName name="solver_lhs1" localSheetId="4" hidden="1">Model!#REF!</definedName>
    <definedName name="solver_lhs2" localSheetId="4" hidden="1">Model!#REF!</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2</definedName>
    <definedName name="solver_nod" localSheetId="4" hidden="1">2147483647</definedName>
    <definedName name="solver_num" localSheetId="4" hidden="1">2</definedName>
    <definedName name="solver_nwt" localSheetId="4" hidden="1">1</definedName>
    <definedName name="solver_opt" localSheetId="4" hidden="1">Model!#REF!</definedName>
    <definedName name="solver_pre" localSheetId="4" hidden="1">0.000001</definedName>
    <definedName name="solver_rbv" localSheetId="4" hidden="1">2</definedName>
    <definedName name="solver_rel1" localSheetId="4" hidden="1">1</definedName>
    <definedName name="solver_rel2" localSheetId="4" hidden="1">3</definedName>
    <definedName name="solver_rhs1" localSheetId="4" hidden="1">100%</definedName>
    <definedName name="solver_rhs2" localSheetId="4" hidden="1">0</definedName>
    <definedName name="solver_rlx" localSheetId="4" hidden="1">2</definedName>
    <definedName name="solver_rsd" localSheetId="4" hidden="1">0</definedName>
    <definedName name="solver_scl" localSheetId="4" hidden="1">2</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2</definedName>
    <definedName name="solver_val" localSheetId="4" hidden="1">0</definedName>
    <definedName name="solver_ver" localSheetId="4"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39" i="3" l="1"/>
  <c r="C38" i="3" l="1"/>
  <c r="C37" i="3"/>
  <c r="C36" i="3"/>
  <c r="C35" i="3"/>
  <c r="C34" i="3"/>
  <c r="C33" i="3"/>
  <c r="C32" i="3"/>
  <c r="C31" i="3"/>
  <c r="C30" i="3"/>
  <c r="C29" i="3"/>
  <c r="C28" i="3"/>
  <c r="C27" i="3"/>
  <c r="C26" i="3"/>
  <c r="C25" i="3"/>
  <c r="C24" i="3"/>
  <c r="C23" i="3"/>
  <c r="C22" i="3"/>
  <c r="C21" i="3"/>
  <c r="C20" i="3"/>
  <c r="C19" i="3"/>
  <c r="C18" i="3"/>
  <c r="C17" i="3"/>
  <c r="C16" i="3"/>
  <c r="H28" i="3" l="1"/>
  <c r="C12" i="3"/>
  <c r="F8" i="3" s="1"/>
  <c r="H30" i="3" l="1"/>
  <c r="H23" i="3"/>
  <c r="H21" i="3"/>
  <c r="H16" i="3"/>
  <c r="H37" i="3"/>
  <c r="H32" i="3"/>
  <c r="H25" i="3"/>
  <c r="H18" i="3"/>
  <c r="H34" i="3"/>
  <c r="H27" i="3"/>
  <c r="H20" i="3"/>
  <c r="H36" i="3"/>
  <c r="H29" i="3"/>
  <c r="H22" i="3"/>
  <c r="H38" i="3"/>
  <c r="H31" i="3"/>
  <c r="H24" i="3"/>
  <c r="H17" i="3"/>
  <c r="H33" i="3"/>
  <c r="H26" i="3"/>
  <c r="H19" i="3"/>
  <c r="H35" i="3"/>
  <c r="F11" i="3"/>
  <c r="K17" i="3"/>
  <c r="N17" i="3" s="1"/>
  <c r="I26" i="3"/>
  <c r="I31" i="3" l="1"/>
  <c r="M31" i="3" s="1"/>
  <c r="I17" i="3"/>
  <c r="M17" i="3" s="1"/>
  <c r="I24" i="3"/>
  <c r="M24" i="3" s="1"/>
  <c r="I21" i="3"/>
  <c r="M21" i="3" s="1"/>
  <c r="M26" i="3"/>
  <c r="I38" i="3"/>
  <c r="M38" i="3" s="1"/>
  <c r="I30" i="3"/>
  <c r="M30" i="3" s="1"/>
  <c r="I18" i="3"/>
  <c r="M18" i="3" s="1"/>
  <c r="I36" i="3"/>
  <c r="M36" i="3" s="1"/>
  <c r="I37" i="3"/>
  <c r="M37" i="3" s="1"/>
  <c r="I25" i="3"/>
  <c r="M25" i="3" s="1"/>
  <c r="I20" i="3"/>
  <c r="M20" i="3" s="1"/>
  <c r="I33" i="3"/>
  <c r="M33" i="3" s="1"/>
  <c r="I23" i="3"/>
  <c r="M23" i="3" s="1"/>
  <c r="I22" i="3"/>
  <c r="M22" i="3" s="1"/>
  <c r="I28" i="3"/>
  <c r="M28" i="3" s="1"/>
  <c r="I27" i="3"/>
  <c r="M27" i="3" s="1"/>
  <c r="I32" i="3"/>
  <c r="M32" i="3" s="1"/>
  <c r="I35" i="3"/>
  <c r="M35" i="3" s="1"/>
  <c r="K35" i="3"/>
  <c r="N35" i="3" s="1"/>
  <c r="K30" i="3"/>
  <c r="N30" i="3" s="1"/>
  <c r="K37" i="3"/>
  <c r="N37" i="3" s="1"/>
  <c r="K21" i="3"/>
  <c r="N21" i="3" s="1"/>
  <c r="K36" i="3"/>
  <c r="N36" i="3" s="1"/>
  <c r="K20" i="3"/>
  <c r="N20" i="3" s="1"/>
  <c r="K38" i="3"/>
  <c r="N38" i="3" s="1"/>
  <c r="K25" i="3"/>
  <c r="N25" i="3" s="1"/>
  <c r="K24" i="3"/>
  <c r="N24" i="3" s="1"/>
  <c r="K27" i="3"/>
  <c r="N27" i="3" s="1"/>
  <c r="K26" i="3"/>
  <c r="N26" i="3" s="1"/>
  <c r="K33" i="3"/>
  <c r="N33" i="3" s="1"/>
  <c r="K31" i="3"/>
  <c r="N31" i="3" s="1"/>
  <c r="K32" i="3"/>
  <c r="N32" i="3" s="1"/>
  <c r="K23" i="3"/>
  <c r="N23" i="3" s="1"/>
  <c r="K22" i="3"/>
  <c r="N22" i="3" s="1"/>
  <c r="K29" i="3"/>
  <c r="N29" i="3" s="1"/>
  <c r="K19" i="3"/>
  <c r="N19" i="3" s="1"/>
  <c r="K28" i="3"/>
  <c r="N28" i="3" s="1"/>
  <c r="K18" i="3"/>
  <c r="N18" i="3" s="1"/>
  <c r="K34" i="3"/>
  <c r="N34" i="3" s="1"/>
  <c r="I29" i="3"/>
  <c r="M29" i="3" s="1"/>
  <c r="K16" i="3"/>
  <c r="I19" i="3"/>
  <c r="M19" i="3" s="1"/>
  <c r="I34" i="3"/>
  <c r="M34" i="3" s="1"/>
  <c r="I16" i="3"/>
  <c r="D39" i="3"/>
  <c r="O25" i="3" l="1"/>
  <c r="P25" i="3" s="1"/>
  <c r="V25" i="3" s="1"/>
  <c r="W25" i="3" s="1"/>
  <c r="O22" i="3"/>
  <c r="P22" i="3" s="1"/>
  <c r="O17" i="3"/>
  <c r="P17" i="3" s="1"/>
  <c r="O27" i="3"/>
  <c r="P27" i="3" s="1"/>
  <c r="O31" i="3"/>
  <c r="P31" i="3" s="1"/>
  <c r="O24" i="3"/>
  <c r="P24" i="3" s="1"/>
  <c r="O20" i="3"/>
  <c r="P20" i="3" s="1"/>
  <c r="O30" i="3"/>
  <c r="P30" i="3" s="1"/>
  <c r="O32" i="3"/>
  <c r="P32" i="3" s="1"/>
  <c r="O36" i="3"/>
  <c r="P36" i="3" s="1"/>
  <c r="O18" i="3"/>
  <c r="P18" i="3" s="1"/>
  <c r="O21" i="3"/>
  <c r="P21" i="3" s="1"/>
  <c r="O33" i="3"/>
  <c r="P33" i="3" s="1"/>
  <c r="O26" i="3"/>
  <c r="P26" i="3" s="1"/>
  <c r="O28" i="3"/>
  <c r="P28" i="3" s="1"/>
  <c r="O23" i="3"/>
  <c r="P23" i="3" s="1"/>
  <c r="O38" i="3"/>
  <c r="P38" i="3" s="1"/>
  <c r="O37" i="3"/>
  <c r="O19" i="3"/>
  <c r="P19" i="3" s="1"/>
  <c r="O34" i="3"/>
  <c r="P34" i="3" s="1"/>
  <c r="O29" i="3"/>
  <c r="P29" i="3" s="1"/>
  <c r="O35" i="3"/>
  <c r="P35" i="3" s="1"/>
  <c r="F39" i="3"/>
  <c r="E39" i="3"/>
  <c r="H39" i="3"/>
  <c r="M16" i="3"/>
  <c r="V24" i="3" l="1"/>
  <c r="W24" i="3" s="1"/>
  <c r="V26" i="3"/>
  <c r="V23" i="3"/>
  <c r="V22" i="3"/>
  <c r="W22" i="3" s="1"/>
  <c r="V21" i="3"/>
  <c r="V30" i="3"/>
  <c r="W30" i="3" s="1"/>
  <c r="V19" i="3"/>
  <c r="W19" i="3" s="1"/>
  <c r="V17" i="3"/>
  <c r="W17" i="3" s="1"/>
  <c r="V18" i="3"/>
  <c r="W18" i="3" s="1"/>
  <c r="V27" i="3"/>
  <c r="P37" i="3"/>
  <c r="V31" i="3"/>
  <c r="W31" i="3" s="1"/>
  <c r="V34" i="3"/>
  <c r="W34" i="3" s="1"/>
  <c r="V32" i="3"/>
  <c r="V36" i="3"/>
  <c r="V33" i="3"/>
  <c r="W33" i="3" s="1"/>
  <c r="V35" i="3"/>
  <c r="V38" i="3"/>
  <c r="V29" i="3"/>
  <c r="W29" i="3" s="1"/>
  <c r="V28" i="3"/>
  <c r="V20" i="3"/>
  <c r="W20" i="3" s="1"/>
  <c r="I39" i="3"/>
  <c r="N16" i="3"/>
  <c r="M39" i="3"/>
  <c r="W36" i="3" l="1"/>
  <c r="AC36" i="3"/>
  <c r="AB36" i="3" s="1"/>
  <c r="AC23" i="3"/>
  <c r="AB23" i="3" s="1"/>
  <c r="W23" i="3"/>
  <c r="AC25" i="3"/>
  <c r="AB25" i="3" s="1"/>
  <c r="AC24" i="3"/>
  <c r="AB24" i="3" s="1"/>
  <c r="AC38" i="3"/>
  <c r="AB38" i="3" s="1"/>
  <c r="W38" i="3"/>
  <c r="AC34" i="3"/>
  <c r="AB34" i="3" s="1"/>
  <c r="AC33" i="3"/>
  <c r="AB33" i="3" s="1"/>
  <c r="AC32" i="3"/>
  <c r="AB32" i="3" s="1"/>
  <c r="W32" i="3"/>
  <c r="AC27" i="3"/>
  <c r="AB27" i="3" s="1"/>
  <c r="AG27" i="3" s="1"/>
  <c r="AJ27" i="3" s="1"/>
  <c r="AI27" i="3" s="1"/>
  <c r="W27" i="3"/>
  <c r="AC26" i="3"/>
  <c r="AB26" i="3" s="1"/>
  <c r="W26" i="3"/>
  <c r="AC31" i="3"/>
  <c r="AB31" i="3" s="1"/>
  <c r="AC30" i="3"/>
  <c r="AB30" i="3" s="1"/>
  <c r="AC29" i="3"/>
  <c r="AB29" i="3" s="1"/>
  <c r="W28" i="3"/>
  <c r="AC28" i="3"/>
  <c r="AB28" i="3" s="1"/>
  <c r="AC35" i="3"/>
  <c r="AB35" i="3" s="1"/>
  <c r="AG35" i="3" s="1"/>
  <c r="W35" i="3"/>
  <c r="AC21" i="3"/>
  <c r="AB21" i="3" s="1"/>
  <c r="W21" i="3"/>
  <c r="AC22" i="3"/>
  <c r="AB22" i="3" s="1"/>
  <c r="V37" i="3"/>
  <c r="R39" i="3"/>
  <c r="K39" i="3"/>
  <c r="AC37" i="3" l="1"/>
  <c r="AB37" i="3" s="1"/>
  <c r="W37" i="3"/>
  <c r="AG22" i="3"/>
  <c r="AJ22" i="3"/>
  <c r="AI22" i="3" s="1"/>
  <c r="AG21" i="3"/>
  <c r="AJ21" i="3" s="1"/>
  <c r="AI21" i="3" s="1"/>
  <c r="N39" i="3"/>
  <c r="O16" i="3"/>
  <c r="P16" i="3" s="1"/>
  <c r="AG34" i="3" l="1"/>
  <c r="AJ34" i="3"/>
  <c r="AI34" i="3" s="1"/>
  <c r="AG26" i="3"/>
  <c r="AJ26" i="3"/>
  <c r="AI26" i="3" s="1"/>
  <c r="AG36" i="3"/>
  <c r="AJ36" i="3" s="1"/>
  <c r="AI36" i="3" s="1"/>
  <c r="AG23" i="3"/>
  <c r="AJ23" i="3" s="1"/>
  <c r="AI23" i="3" s="1"/>
  <c r="AG24" i="3"/>
  <c r="AJ24" i="3"/>
  <c r="AI24" i="3" s="1"/>
  <c r="AG30" i="3"/>
  <c r="AJ30" i="3" s="1"/>
  <c r="AI30" i="3" s="1"/>
  <c r="AG29" i="3"/>
  <c r="AJ29" i="3" s="1"/>
  <c r="AI29" i="3" s="1"/>
  <c r="AG28" i="3"/>
  <c r="AJ28" i="3" s="1"/>
  <c r="AI28" i="3" s="1"/>
  <c r="AG31" i="3"/>
  <c r="AJ31" i="3" s="1"/>
  <c r="AI31" i="3" s="1"/>
  <c r="AG32" i="3"/>
  <c r="AJ32" i="3"/>
  <c r="AI32" i="3" s="1"/>
  <c r="AG38" i="3"/>
  <c r="AJ38" i="3" s="1"/>
  <c r="AI38" i="3" s="1"/>
  <c r="AJ35" i="3"/>
  <c r="AI35" i="3" s="1"/>
  <c r="AG33" i="3"/>
  <c r="AJ33" i="3" s="1"/>
  <c r="AI33" i="3" s="1"/>
  <c r="AG25" i="3"/>
  <c r="AJ25" i="3" s="1"/>
  <c r="AI25" i="3" s="1"/>
  <c r="AG37" i="3"/>
  <c r="AJ37" i="3" s="1"/>
  <c r="AI37" i="3" s="1"/>
  <c r="T39" i="3"/>
  <c r="O39" i="3"/>
  <c r="P39" i="3" l="1"/>
  <c r="V16" i="3"/>
  <c r="AC19" i="3" l="1"/>
  <c r="AB19" i="3" s="1"/>
  <c r="AC18" i="3"/>
  <c r="AB18" i="3" s="1"/>
  <c r="AC17" i="3"/>
  <c r="AB17" i="3" s="1"/>
  <c r="AC20" i="3"/>
  <c r="AB20" i="3" s="1"/>
  <c r="AC16" i="3"/>
  <c r="AB16" i="3" s="1"/>
  <c r="W16" i="3"/>
  <c r="V39" i="3"/>
  <c r="AE16" i="3" l="1"/>
  <c r="AD16" i="3" s="1"/>
  <c r="AG18" i="3" l="1"/>
  <c r="AJ18" i="3" s="1"/>
  <c r="AI18" i="3" s="1"/>
  <c r="AG17" i="3"/>
  <c r="AJ17" i="3" s="1"/>
  <c r="AI17" i="3" s="1"/>
  <c r="AG19" i="3"/>
  <c r="AJ19" i="3" s="1"/>
  <c r="AI19" i="3" s="1"/>
  <c r="AG16" i="3"/>
  <c r="AJ16" i="3" s="1"/>
  <c r="AI16" i="3" s="1"/>
  <c r="AG20" i="3"/>
  <c r="AJ20" i="3" s="1"/>
  <c r="AI20" i="3" s="1"/>
  <c r="AB39" i="3"/>
  <c r="AI13" i="3" l="1"/>
  <c r="AD39" i="3"/>
  <c r="AJ13" i="3" l="1"/>
  <c r="D33" i="5" s="1"/>
  <c r="D9" i="5"/>
  <c r="D22" i="5"/>
  <c r="D23" i="5"/>
  <c r="D30" i="5"/>
  <c r="D28" i="5"/>
  <c r="D17" i="5"/>
  <c r="D14" i="5"/>
  <c r="D19" i="5"/>
  <c r="D13" i="5"/>
  <c r="D15" i="5"/>
  <c r="D16" i="5"/>
  <c r="D11" i="5"/>
  <c r="D20" i="5"/>
  <c r="D25" i="5"/>
  <c r="D29" i="5"/>
  <c r="D26" i="5"/>
  <c r="D24" i="5"/>
  <c r="D12" i="5"/>
  <c r="D18" i="5"/>
  <c r="D31" i="5"/>
  <c r="D10" i="5"/>
  <c r="D21" i="5"/>
  <c r="D27" i="5"/>
  <c r="AG39" i="3" l="1"/>
  <c r="AJ39" i="3" l="1"/>
</calcChain>
</file>

<file path=xl/sharedStrings.xml><?xml version="1.0" encoding="utf-8"?>
<sst xmlns="http://schemas.openxmlformats.org/spreadsheetml/2006/main" count="135" uniqueCount="107">
  <si>
    <t>Printed paper</t>
  </si>
  <si>
    <t>Paper packaging</t>
  </si>
  <si>
    <t>Plastics</t>
  </si>
  <si>
    <t>Steel</t>
  </si>
  <si>
    <t>Aluminum</t>
  </si>
  <si>
    <t>Glass</t>
  </si>
  <si>
    <t>Category</t>
  </si>
  <si>
    <t>Material</t>
  </si>
  <si>
    <t>Aggregation levels</t>
  </si>
  <si>
    <t>Aggregation %</t>
  </si>
  <si>
    <t>Recovery Rate</t>
  </si>
  <si>
    <t>Newsprint - CNA/OCNA</t>
  </si>
  <si>
    <t>Newsprint - Non-CNA/OCNA</t>
  </si>
  <si>
    <t>Magazines and Catalogues</t>
  </si>
  <si>
    <t>Telephone Books</t>
  </si>
  <si>
    <t>Other Printed Paper</t>
  </si>
  <si>
    <t>Corrugated Cardboard</t>
  </si>
  <si>
    <t>Boxboard</t>
  </si>
  <si>
    <t>Gable Top Cartons</t>
  </si>
  <si>
    <t>Paper Laminates</t>
  </si>
  <si>
    <t>Aseptic Containers</t>
  </si>
  <si>
    <t>PET Bottles</t>
  </si>
  <si>
    <t>HDPE Bottles</t>
  </si>
  <si>
    <t>Plastic Film</t>
  </si>
  <si>
    <t>Plastic Laminates</t>
  </si>
  <si>
    <t>Polystyrene</t>
  </si>
  <si>
    <t>Other Plastics</t>
  </si>
  <si>
    <t>Steel Food &amp; Beverage Cans</t>
  </si>
  <si>
    <t>Steel Aerosols</t>
  </si>
  <si>
    <t>Steel Paint Cans</t>
  </si>
  <si>
    <t>Aluminum Food &amp; Beverage Cans</t>
  </si>
  <si>
    <t>Other Aluminum Packaging</t>
  </si>
  <si>
    <t>Clear Glass</t>
  </si>
  <si>
    <t>Coloured Glass</t>
  </si>
  <si>
    <t>Total</t>
  </si>
  <si>
    <t>Fees &amp; Fee Rates</t>
  </si>
  <si>
    <t>Gross Cost</t>
  </si>
  <si>
    <t>Revenue</t>
  </si>
  <si>
    <t>Net Cost</t>
  </si>
  <si>
    <t>Program Management Cost</t>
  </si>
  <si>
    <t>Step 4</t>
  </si>
  <si>
    <t>Material Development Cost</t>
  </si>
  <si>
    <t>Steward Obligation</t>
  </si>
  <si>
    <t>Marketed Commodity Revenue 
(100% revenue)</t>
  </si>
  <si>
    <t>Step 3</t>
  </si>
  <si>
    <t>Additional Aggregation Levels</t>
  </si>
  <si>
    <t>Additional Aggregation %</t>
  </si>
  <si>
    <t>AGGREGATED FEE RATES 
(cents/ kg)</t>
  </si>
  <si>
    <t>AGGREGATED FEES 
($)</t>
  </si>
  <si>
    <t>Step 2</t>
  </si>
  <si>
    <t>Cents/ kg</t>
  </si>
  <si>
    <t xml:space="preserve">Relative Shares </t>
  </si>
  <si>
    <t>CNA/OCNA in-kind contribution</t>
  </si>
  <si>
    <t>Steward Obligation ($)</t>
  </si>
  <si>
    <t>Total Fees ($)</t>
  </si>
  <si>
    <t>Step 1</t>
  </si>
  <si>
    <t xml:space="preserve">Steward Obligation </t>
  </si>
  <si>
    <t>Glossary &amp; Acronyms</t>
  </si>
  <si>
    <t>Supplied ABC (60% of gross cost)</t>
  </si>
  <si>
    <t>Collected ABC (40% of gross cost)</t>
  </si>
  <si>
    <t xml:space="preserve">Program Management ($) </t>
  </si>
  <si>
    <t>CNA/OCNA in-kind contribution ($)</t>
  </si>
  <si>
    <t>CNA/OCNA in-kind contribution (cents/ kg)</t>
  </si>
  <si>
    <t xml:space="preserve">Fee Schedule </t>
  </si>
  <si>
    <t xml:space="preserve">Introduction </t>
  </si>
  <si>
    <t>Model</t>
  </si>
  <si>
    <r>
      <t>Index</t>
    </r>
    <r>
      <rPr>
        <b/>
        <sz val="11"/>
        <color rgb="FFFF0000"/>
        <rFont val="Calibri"/>
        <family val="2"/>
        <scheme val="minor"/>
      </rPr>
      <t xml:space="preserve"> </t>
    </r>
  </si>
  <si>
    <t>#</t>
  </si>
  <si>
    <t>Sheet Title</t>
  </si>
  <si>
    <t>Description</t>
  </si>
  <si>
    <t>Supplied / Material Costs (60%)</t>
  </si>
  <si>
    <t>Collected / Material Cost (40%)</t>
  </si>
  <si>
    <t>Supplied / Material Cost
(60% gross cost)</t>
  </si>
  <si>
    <t>Collected / Material Cost
(40% gross cost)</t>
  </si>
  <si>
    <t>Fee Schedule</t>
  </si>
  <si>
    <t>Marketed / Material Price (100%)</t>
  </si>
  <si>
    <t xml:space="preserve">Market Development ($) </t>
  </si>
  <si>
    <t>Steward Obligation Gross Cost ($)</t>
  </si>
  <si>
    <t xml:space="preserve">Steward Revenue ($) </t>
  </si>
  <si>
    <t>Steward Obligation Net Cost ($)</t>
  </si>
  <si>
    <t>Surplus Drawdown</t>
  </si>
  <si>
    <t>Disaggregated Fees 
($)
Step 4 NOT included</t>
  </si>
  <si>
    <t>Disaggregated Fee Rates 
(cents/ kg)
Step 4 NOT included</t>
  </si>
  <si>
    <t>Fee Rates
(cents/ kg)</t>
  </si>
  <si>
    <t>Surplus drawdown %</t>
  </si>
  <si>
    <t>2022 Fee Schedule</t>
  </si>
  <si>
    <t>Introduction to the Four-Step Fee Model</t>
  </si>
  <si>
    <t>The below Index identifies tabs for background information and detailed calculations.</t>
  </si>
  <si>
    <r>
      <t xml:space="preserve">For each obligation year, fee rates are carefully calculated, consulted upon and then approved by the </t>
    </r>
    <r>
      <rPr>
        <sz val="11"/>
        <color rgb="FFFF0000"/>
        <rFont val="Calibri"/>
        <family val="2"/>
      </rPr>
      <t>Board of Directors/ Administrator.</t>
    </r>
  </si>
  <si>
    <r>
      <t xml:space="preserve">The four-step fee methodology was used to calculate the 2022 Fee Schedule. The methodology was developed by stewards for stewards, and focuses solely on the allocation of costs and commodity revenues to each material in a manner that reflects each material’s impact on the recycling system. See Tab 4 below for more information on the methodology. </t>
    </r>
    <r>
      <rPr>
        <sz val="11"/>
        <rFont val="Calibri"/>
        <family val="2"/>
      </rPr>
      <t>The 2022 fees were calculated based on 2021 steward reports using 2020 data.</t>
    </r>
  </si>
  <si>
    <t>Glossary</t>
  </si>
  <si>
    <t>Fee Methodology</t>
  </si>
  <si>
    <t>Introduction to the Four-Step Model</t>
  </si>
  <si>
    <t>Definition of terms</t>
  </si>
  <si>
    <t>Overview of fee setting four steps</t>
  </si>
  <si>
    <t>Detailed calculation model for Fee Schedule</t>
  </si>
  <si>
    <r>
      <rPr>
        <b/>
        <sz val="11"/>
        <color theme="1"/>
        <rFont val="Calibri"/>
        <family val="2"/>
      </rPr>
      <t>GROSS COST</t>
    </r>
    <r>
      <rPr>
        <sz val="11"/>
        <color theme="1"/>
        <rFont val="Calibri"/>
        <family val="2"/>
        <scheme val="minor"/>
      </rPr>
      <t xml:space="preserve"> - Total cost to collect and process materials.</t>
    </r>
  </si>
  <si>
    <r>
      <rPr>
        <b/>
        <sz val="11"/>
        <color theme="1"/>
        <rFont val="Calibri"/>
        <family val="2"/>
      </rPr>
      <t>NET COST</t>
    </r>
    <r>
      <rPr>
        <sz val="11"/>
        <color theme="1"/>
        <rFont val="Calibri"/>
        <family val="2"/>
        <scheme val="minor"/>
      </rPr>
      <t xml:space="preserve"> - Gross cost minus commodity revenue.</t>
    </r>
  </si>
  <si>
    <r>
      <rPr>
        <b/>
        <sz val="11"/>
        <color theme="1"/>
        <rFont val="Calibri"/>
        <family val="2"/>
      </rPr>
      <t>PROGRAM MANAGEMENT COSTS</t>
    </r>
    <r>
      <rPr>
        <sz val="11"/>
        <color theme="1"/>
        <rFont val="Calibri"/>
        <family val="2"/>
        <scheme val="minor"/>
      </rPr>
      <t xml:space="preserve"> - Costs that are incurred to operate and manage the PPP programs. Costs include management and administrative costs, program-wide promotion and education costs, and any regulatory costs (applicable to the SO program).</t>
    </r>
  </si>
  <si>
    <r>
      <rPr>
        <b/>
        <sz val="11"/>
        <color theme="1"/>
        <rFont val="Calibri"/>
        <family val="2"/>
      </rPr>
      <t>RECOVERY RATE (RR)</t>
    </r>
    <r>
      <rPr>
        <sz val="11"/>
        <color theme="1"/>
        <rFont val="Calibri"/>
        <family val="2"/>
        <scheme val="minor"/>
      </rPr>
      <t xml:space="preserve"> - Recovery rate refers to the amount of designated packaging and printed materials that is recovered as a percentage of the amount generated, i.e. disposed of by residents.</t>
    </r>
  </si>
  <si>
    <r>
      <rPr>
        <b/>
        <sz val="11"/>
        <color theme="1"/>
        <rFont val="Calibri"/>
        <family val="2"/>
        <scheme val="minor"/>
      </rPr>
      <t>RELATIVE SHARE</t>
    </r>
    <r>
      <rPr>
        <sz val="11"/>
        <color theme="1"/>
        <rFont val="Calibri"/>
        <family val="2"/>
        <scheme val="minor"/>
      </rPr>
      <t xml:space="preserve"> - Each material's proportionate share of the total supplied tonnes, collected tonnes and marketed tonnes. The relative share of supplied and collected tonnes is calculated using both the quantity of material and its cost per tonne to manage. The relative share of marketed tonnes is calculated using both the quantity of material and its commodity price.</t>
    </r>
  </si>
  <si>
    <r>
      <rPr>
        <b/>
        <sz val="11"/>
        <color theme="1"/>
        <rFont val="Calibri"/>
        <family val="2"/>
      </rPr>
      <t>SUPPLIED TONNES</t>
    </r>
    <r>
      <rPr>
        <sz val="11"/>
        <color theme="1"/>
        <rFont val="Calibri"/>
        <family val="2"/>
        <scheme val="minor"/>
      </rPr>
      <t xml:space="preserve"> - Quantity of designated material reported by stewards in their annual submissions. These tonnes are used to determine ¢/ kg fee rates, and are an input to collected and marketed tonnes.</t>
    </r>
  </si>
  <si>
    <t>Supply Tonnes</t>
  </si>
  <si>
    <t>Fees ($)</t>
  </si>
  <si>
    <t>2022 SO Four-Step Fee Model</t>
  </si>
  <si>
    <t xml:space="preserve">The fee methodology is based on the following set of steps: </t>
  </si>
  <si>
    <t>Please contact National Steward Services at 1-888-980-9549 or stewards@cssalliance.ca for assistance and/ or questions about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</si>
</sst>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_-;\-&quot;$&quot;* #,##0_-;_-&quot;$&quot;* &quot;-&quot;??_-;_-@_-"/>
    <numFmt numFmtId="167" formatCode="0.0%"/>
    <numFmt numFmtId="168" formatCode="_(* #,##0_);_(* \(#,##0\);_(* &quot;-&quot;??_);_(@_)"/>
    <numFmt numFmtId="169" formatCode="_(&quot;$&quot;* #,##0_);_(&quot;$&quot;* \(#,##0\);_(&quot;$&quot;* &quot;-&quot;??_);_(@_)"/>
    <numFmt numFmtId="170" formatCode="&quot;$&quot;#,##0"/>
    <numFmt numFmtId="171" formatCode="_(* #,##0.0000000_);_(* \(#,##0.0000000\);_(* &quot;-&quot;??_);_(@_)"/>
    <numFmt numFmtId="172" formatCode="#,##0.00&quot; ¢/kg&quot;"/>
    <numFmt numFmtId="173" formatCode="###,000"/>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color theme="1"/>
      <name val="Calibri"/>
      <family val="2"/>
      <scheme val="minor"/>
    </font>
    <font>
      <b/>
      <sz val="11"/>
      <color theme="1" tint="0.499984740745262"/>
      <name val="Calibri"/>
      <family val="2"/>
      <scheme val="minor"/>
    </font>
    <font>
      <sz val="11"/>
      <color rgb="FFFF0000"/>
      <name val="Calibri"/>
      <family val="2"/>
      <scheme val="minor"/>
    </font>
    <font>
      <b/>
      <sz val="20"/>
      <color theme="1"/>
      <name val="Times New Roman"/>
      <family val="1"/>
    </font>
    <font>
      <i/>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tint="0.499984740745262"/>
      <name val="Calibri"/>
      <family val="2"/>
      <scheme val="minor"/>
    </font>
    <font>
      <sz val="11"/>
      <color theme="1" tint="0.499984740745262"/>
      <name val="Calibri"/>
      <family val="2"/>
      <scheme val="minor"/>
    </font>
    <font>
      <b/>
      <sz val="11"/>
      <color rgb="FF000000"/>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
      <b/>
      <sz val="11"/>
      <color theme="1"/>
      <name val="Calibri"/>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i/>
      <sz val="11"/>
      <color theme="1"/>
      <name val="Calibri"/>
      <family val="2"/>
      <scheme val="minor"/>
    </font>
    <font>
      <b/>
      <i/>
      <sz val="11"/>
      <color rgb="FF0000FF"/>
      <name val="Calibri"/>
      <family val="2"/>
      <scheme val="minor"/>
    </font>
    <font>
      <sz val="11"/>
      <name val="Calibri"/>
      <family val="2"/>
    </font>
    <font>
      <sz val="11"/>
      <color rgb="FFFF0000"/>
      <name val="Calibri"/>
      <family val="2"/>
    </font>
  </fonts>
  <fills count="47">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gradientFill type="path" left="0.5" right="0.5" top="0.5" bottom="0.5">
        <stop position="0">
          <color theme="0"/>
        </stop>
        <stop position="1">
          <color rgb="FFFFFF9B"/>
        </stop>
      </gradient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182">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 fillId="0" borderId="0" applyFont="0" applyFill="0" applyBorder="0" applyAlignment="0" applyProtection="0"/>
    <xf numFmtId="0" fontId="12" fillId="0" borderId="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26" borderId="19" applyNumberFormat="0" applyAlignment="0" applyProtection="0"/>
    <xf numFmtId="0" fontId="16" fillId="26" borderId="19" applyNumberFormat="0" applyAlignment="0" applyProtection="0"/>
    <xf numFmtId="0" fontId="16" fillId="26" borderId="19" applyNumberFormat="0" applyAlignment="0" applyProtection="0"/>
    <xf numFmtId="0" fontId="17" fillId="27" borderId="20" applyNumberFormat="0" applyAlignment="0" applyProtection="0"/>
    <xf numFmtId="0" fontId="17" fillId="27" borderId="20" applyNumberFormat="0" applyAlignment="0" applyProtection="0"/>
    <xf numFmtId="0" fontId="17" fillId="27" borderId="20" applyNumberFormat="0" applyAlignment="0" applyProtection="0"/>
    <xf numFmtId="43" fontId="12"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0" borderId="21" applyNumberFormat="0" applyFill="0" applyAlignment="0" applyProtection="0"/>
    <xf numFmtId="0" fontId="20" fillId="0" borderId="21"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3" borderId="19" applyNumberFormat="0" applyAlignment="0" applyProtection="0"/>
    <xf numFmtId="0" fontId="23" fillId="13" borderId="19" applyNumberFormat="0" applyAlignment="0" applyProtection="0"/>
    <xf numFmtId="0" fontId="23" fillId="13" borderId="19"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6" fillId="0" borderId="0"/>
    <xf numFmtId="0" fontId="12" fillId="0" borderId="0"/>
    <xf numFmtId="0" fontId="12" fillId="0" borderId="0"/>
    <xf numFmtId="0" fontId="26" fillId="0" borderId="0"/>
    <xf numFmtId="0" fontId="26" fillId="0" borderId="0"/>
    <xf numFmtId="0" fontId="12" fillId="29" borderId="25" applyNumberFormat="0" applyFont="0" applyAlignment="0" applyProtection="0"/>
    <xf numFmtId="0" fontId="13" fillId="29" borderId="25" applyNumberFormat="0" applyFont="0" applyAlignment="0" applyProtection="0"/>
    <xf numFmtId="0" fontId="13" fillId="29" borderId="25" applyNumberFormat="0" applyFont="0" applyAlignment="0" applyProtection="0"/>
    <xf numFmtId="0" fontId="27" fillId="26" borderId="26" applyNumberFormat="0" applyAlignment="0" applyProtection="0"/>
    <xf numFmtId="0" fontId="27" fillId="26" borderId="26" applyNumberFormat="0" applyAlignment="0" applyProtection="0"/>
    <xf numFmtId="0" fontId="27" fillId="26" borderId="2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8" fillId="30" borderId="36" applyNumberFormat="0" applyAlignment="0" applyProtection="0">
      <alignment horizontal="left" vertical="center" indent="1"/>
    </xf>
    <xf numFmtId="173" fontId="39" fillId="0" borderId="37" applyNumberFormat="0" applyProtection="0">
      <alignment horizontal="right" vertical="center"/>
    </xf>
    <xf numFmtId="173" fontId="38" fillId="0" borderId="38" applyNumberFormat="0" applyProtection="0">
      <alignment horizontal="right" vertical="center"/>
    </xf>
    <xf numFmtId="173" fontId="39" fillId="31" borderId="36" applyNumberFormat="0" applyAlignment="0" applyProtection="0">
      <alignment horizontal="left" vertical="center" indent="1"/>
    </xf>
    <xf numFmtId="0" fontId="40" fillId="32" borderId="38" applyNumberFormat="0" applyAlignment="0">
      <alignment horizontal="left" vertical="center" indent="1"/>
      <protection locked="0"/>
    </xf>
    <xf numFmtId="0" fontId="40" fillId="33" borderId="38" applyNumberFormat="0" applyAlignment="0" applyProtection="0">
      <alignment horizontal="left" vertical="center" indent="1"/>
    </xf>
    <xf numFmtId="173" fontId="39" fillId="34" borderId="37" applyNumberFormat="0" applyBorder="0">
      <alignment horizontal="right" vertical="center"/>
      <protection locked="0"/>
    </xf>
    <xf numFmtId="0" fontId="40" fillId="32" borderId="38" applyNumberFormat="0" applyAlignment="0">
      <alignment horizontal="left" vertical="center" indent="1"/>
      <protection locked="0"/>
    </xf>
    <xf numFmtId="173" fontId="38" fillId="33" borderId="38" applyNumberFormat="0" applyProtection="0">
      <alignment horizontal="right" vertical="center"/>
    </xf>
    <xf numFmtId="173" fontId="38" fillId="34" borderId="38" applyNumberFormat="0" applyBorder="0">
      <alignment horizontal="right" vertical="center"/>
      <protection locked="0"/>
    </xf>
    <xf numFmtId="173" fontId="41" fillId="35" borderId="39" applyNumberFormat="0" applyBorder="0" applyAlignment="0" applyProtection="0">
      <alignment horizontal="right" vertical="center" indent="1"/>
    </xf>
    <xf numFmtId="173" fontId="42" fillId="36" borderId="39" applyNumberFormat="0" applyBorder="0" applyAlignment="0" applyProtection="0">
      <alignment horizontal="right" vertical="center" indent="1"/>
    </xf>
    <xf numFmtId="173" fontId="42" fillId="37" borderId="39" applyNumberFormat="0" applyBorder="0" applyAlignment="0" applyProtection="0">
      <alignment horizontal="right" vertical="center" indent="1"/>
    </xf>
    <xf numFmtId="173" fontId="43" fillId="38" borderId="39" applyNumberFormat="0" applyBorder="0" applyAlignment="0" applyProtection="0">
      <alignment horizontal="right" vertical="center" indent="1"/>
    </xf>
    <xf numFmtId="173" fontId="43" fillId="39" borderId="39" applyNumberFormat="0" applyBorder="0" applyAlignment="0" applyProtection="0">
      <alignment horizontal="right" vertical="center" indent="1"/>
    </xf>
    <xf numFmtId="173" fontId="43" fillId="40" borderId="39" applyNumberFormat="0" applyBorder="0" applyAlignment="0" applyProtection="0">
      <alignment horizontal="right" vertical="center" indent="1"/>
    </xf>
    <xf numFmtId="173" fontId="44" fillId="41" borderId="39" applyNumberFormat="0" applyBorder="0" applyAlignment="0" applyProtection="0">
      <alignment horizontal="right" vertical="center" indent="1"/>
    </xf>
    <xf numFmtId="173" fontId="44" fillId="42" borderId="39" applyNumberFormat="0" applyBorder="0" applyAlignment="0" applyProtection="0">
      <alignment horizontal="right" vertical="center" indent="1"/>
    </xf>
    <xf numFmtId="173" fontId="44" fillId="43" borderId="39" applyNumberFormat="0" applyBorder="0" applyAlignment="0" applyProtection="0">
      <alignment horizontal="right" vertical="center" indent="1"/>
    </xf>
    <xf numFmtId="0" fontId="45" fillId="0" borderId="36" applyNumberFormat="0" applyFont="0" applyFill="0" applyAlignment="0" applyProtection="0"/>
    <xf numFmtId="173" fontId="39" fillId="31" borderId="36" applyNumberFormat="0" applyAlignment="0" applyProtection="0">
      <alignment horizontal="left" vertical="center" indent="1"/>
    </xf>
    <xf numFmtId="0" fontId="38" fillId="30" borderId="38" applyNumberFormat="0" applyAlignment="0" applyProtection="0">
      <alignment horizontal="left" vertical="center" indent="1"/>
    </xf>
    <xf numFmtId="0" fontId="40" fillId="44" borderId="36" applyNumberFormat="0" applyAlignment="0" applyProtection="0">
      <alignment horizontal="left" vertical="center" indent="1"/>
    </xf>
    <xf numFmtId="0" fontId="40" fillId="45" borderId="36" applyNumberFormat="0" applyAlignment="0" applyProtection="0">
      <alignment horizontal="left" vertical="center" indent="1"/>
    </xf>
    <xf numFmtId="0" fontId="40" fillId="46" borderId="36" applyNumberFormat="0" applyAlignment="0" applyProtection="0">
      <alignment horizontal="left" vertical="center" indent="1"/>
    </xf>
    <xf numFmtId="0" fontId="40" fillId="34" borderId="36" applyNumberFormat="0" applyAlignment="0" applyProtection="0">
      <alignment horizontal="left" vertical="center" indent="1"/>
    </xf>
    <xf numFmtId="0" fontId="40" fillId="33" borderId="38" applyNumberFormat="0" applyAlignment="0" applyProtection="0">
      <alignment horizontal="left" vertical="center" indent="1"/>
    </xf>
    <xf numFmtId="0" fontId="46" fillId="0" borderId="40" applyNumberFormat="0" applyFill="0" applyBorder="0" applyAlignment="0" applyProtection="0"/>
    <xf numFmtId="0" fontId="47" fillId="0" borderId="40" applyNumberFormat="0" applyBorder="0" applyAlignment="0" applyProtection="0"/>
    <xf numFmtId="0" fontId="46" fillId="32" borderId="38" applyNumberFormat="0" applyAlignment="0">
      <alignment horizontal="left" vertical="center" indent="1"/>
      <protection locked="0"/>
    </xf>
    <xf numFmtId="0" fontId="46" fillId="32" borderId="38" applyNumberFormat="0" applyAlignment="0">
      <alignment horizontal="left" vertical="center" indent="1"/>
      <protection locked="0"/>
    </xf>
    <xf numFmtId="0" fontId="46" fillId="33" borderId="38" applyNumberFormat="0" applyAlignment="0" applyProtection="0">
      <alignment horizontal="left" vertical="center" indent="1"/>
    </xf>
    <xf numFmtId="173" fontId="48" fillId="33" borderId="38" applyNumberFormat="0" applyProtection="0">
      <alignment horizontal="right" vertical="center"/>
    </xf>
    <xf numFmtId="173" fontId="49" fillId="34" borderId="37" applyNumberFormat="0" applyBorder="0">
      <alignment horizontal="right" vertical="center"/>
      <protection locked="0"/>
    </xf>
    <xf numFmtId="173" fontId="48" fillId="34" borderId="38" applyNumberFormat="0" applyBorder="0">
      <alignment horizontal="right" vertical="center"/>
      <protection locked="0"/>
    </xf>
    <xf numFmtId="173" fontId="39" fillId="0" borderId="37" applyNumberFormat="0" applyFill="0" applyBorder="0" applyAlignment="0" applyProtection="0">
      <alignment horizontal="right" vertical="center"/>
    </xf>
    <xf numFmtId="173" fontId="39" fillId="0" borderId="37" applyNumberFormat="0" applyFill="0" applyBorder="0" applyAlignment="0" applyProtection="0">
      <alignment horizontal="right" vertical="center"/>
    </xf>
    <xf numFmtId="0" fontId="45" fillId="0" borderId="41" applyNumberFormat="0" applyFont="0" applyFill="0" applyAlignment="0" applyProtection="0"/>
    <xf numFmtId="44" fontId="1" fillId="0" borderId="0" applyFont="0" applyFill="0" applyBorder="0" applyAlignment="0" applyProtection="0"/>
  </cellStyleXfs>
  <cellXfs count="144">
    <xf numFmtId="0" fontId="0" fillId="0" borderId="0" xfId="0"/>
    <xf numFmtId="9" fontId="0" fillId="0" borderId="0" xfId="3" applyFont="1"/>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3" xfId="0" applyBorder="1"/>
    <xf numFmtId="169" fontId="6" fillId="0" borderId="1" xfId="2" applyNumberFormat="1" applyFont="1" applyBorder="1" applyAlignment="1">
      <alignment horizontal="center"/>
    </xf>
    <xf numFmtId="43" fontId="5" fillId="0" borderId="1" xfId="1" applyFont="1" applyBorder="1" applyAlignment="1">
      <alignment horizontal="center"/>
    </xf>
    <xf numFmtId="0" fontId="3" fillId="3" borderId="1" xfId="0" applyFont="1" applyFill="1" applyBorder="1"/>
    <xf numFmtId="43" fontId="5" fillId="3" borderId="1" xfId="1" applyFont="1" applyFill="1" applyBorder="1"/>
    <xf numFmtId="166" fontId="5" fillId="0" borderId="1" xfId="2" applyNumberFormat="1" applyFont="1" applyBorder="1" applyAlignment="1">
      <alignment horizontal="center"/>
    </xf>
    <xf numFmtId="166" fontId="5" fillId="3" borderId="1" xfId="2" applyNumberFormat="1" applyFont="1" applyFill="1" applyBorder="1"/>
    <xf numFmtId="166" fontId="0" fillId="0" borderId="1" xfId="2" applyNumberFormat="1" applyFont="1" applyFill="1" applyBorder="1"/>
    <xf numFmtId="166" fontId="3" fillId="0" borderId="1" xfId="2" applyNumberFormat="1" applyFont="1" applyFill="1" applyBorder="1"/>
    <xf numFmtId="166" fontId="3" fillId="3" borderId="1" xfId="2" applyNumberFormat="1" applyFont="1" applyFill="1" applyBorder="1"/>
    <xf numFmtId="0" fontId="7" fillId="0" borderId="0" xfId="0" applyFont="1"/>
    <xf numFmtId="169" fontId="5" fillId="3" borderId="1" xfId="2" applyNumberFormat="1" applyFont="1" applyFill="1" applyBorder="1" applyAlignment="1">
      <alignment horizontal="center"/>
    </xf>
    <xf numFmtId="0" fontId="3" fillId="0" borderId="0" xfId="0" applyFont="1"/>
    <xf numFmtId="167" fontId="6" fillId="0" borderId="1" xfId="3" applyNumberFormat="1" applyFont="1" applyBorder="1" applyAlignment="1">
      <alignment horizontal="center"/>
    </xf>
    <xf numFmtId="0" fontId="8" fillId="3" borderId="1" xfId="0" applyFont="1" applyFill="1" applyBorder="1" applyAlignment="1">
      <alignment horizontal="center" vertical="center" wrapText="1"/>
    </xf>
    <xf numFmtId="0" fontId="10" fillId="0" borderId="0" xfId="0" applyFont="1"/>
    <xf numFmtId="0" fontId="11" fillId="0" borderId="0" xfId="0" applyFont="1"/>
    <xf numFmtId="0" fontId="0" fillId="3" borderId="1" xfId="0" applyFill="1" applyBorder="1"/>
    <xf numFmtId="0" fontId="3" fillId="3" borderId="1" xfId="0" applyFont="1" applyFill="1" applyBorder="1" applyAlignment="1">
      <alignment horizontal="center" vertical="center"/>
    </xf>
    <xf numFmtId="0" fontId="0" fillId="0" borderId="0" xfId="0" applyBorder="1"/>
    <xf numFmtId="0" fontId="5" fillId="7" borderId="1" xfId="0" applyFont="1" applyFill="1" applyBorder="1" applyAlignment="1">
      <alignment horizontal="center" vertical="center" wrapText="1"/>
    </xf>
    <xf numFmtId="169" fontId="5" fillId="7" borderId="1" xfId="2" applyNumberFormat="1" applyFont="1" applyFill="1" applyBorder="1"/>
    <xf numFmtId="166" fontId="5" fillId="7" borderId="1" xfId="2" applyNumberFormat="1" applyFont="1" applyFill="1" applyBorder="1"/>
    <xf numFmtId="43" fontId="5" fillId="3" borderId="17" xfId="1" applyFont="1" applyFill="1" applyBorder="1" applyAlignment="1">
      <alignment horizontal="center"/>
    </xf>
    <xf numFmtId="0" fontId="5" fillId="3" borderId="10" xfId="0" applyFont="1" applyFill="1" applyBorder="1" applyAlignment="1">
      <alignment horizontal="center" vertical="center" wrapText="1"/>
    </xf>
    <xf numFmtId="43" fontId="3" fillId="3" borderId="1" xfId="0" applyNumberFormat="1" applyFont="1" applyFill="1" applyBorder="1"/>
    <xf numFmtId="166" fontId="3" fillId="3" borderId="1" xfId="0" applyNumberFormat="1" applyFont="1" applyFill="1" applyBorder="1"/>
    <xf numFmtId="169" fontId="6" fillId="0" borderId="1" xfId="2" applyNumberFormat="1" applyFont="1" applyFill="1" applyBorder="1" applyAlignment="1">
      <alignment horizontal="center"/>
    </xf>
    <xf numFmtId="0" fontId="9" fillId="0" borderId="0" xfId="0" applyFont="1"/>
    <xf numFmtId="0" fontId="0" fillId="0" borderId="0" xfId="0"/>
    <xf numFmtId="166" fontId="0" fillId="0" borderId="1" xfId="2" applyNumberFormat="1" applyFont="1" applyBorder="1"/>
    <xf numFmtId="0" fontId="0" fillId="0" borderId="28" xfId="0" applyBorder="1"/>
    <xf numFmtId="0" fontId="3" fillId="3" borderId="10" xfId="0" applyFont="1" applyFill="1" applyBorder="1" applyAlignment="1">
      <alignment horizontal="center" vertical="center"/>
    </xf>
    <xf numFmtId="0" fontId="3" fillId="3" borderId="2" xfId="0" applyFont="1" applyFill="1" applyBorder="1"/>
    <xf numFmtId="0" fontId="0" fillId="0" borderId="10" xfId="0" applyBorder="1" applyAlignment="1">
      <alignment horizontal="left"/>
    </xf>
    <xf numFmtId="0" fontId="4" fillId="0" borderId="11" xfId="0" applyFont="1" applyBorder="1" applyAlignment="1">
      <alignment horizontal="left"/>
    </xf>
    <xf numFmtId="0" fontId="4" fillId="0" borderId="2" xfId="0" applyFont="1" applyBorder="1" applyAlignment="1">
      <alignment horizontal="left"/>
    </xf>
    <xf numFmtId="0" fontId="3" fillId="6" borderId="12" xfId="0" applyFont="1" applyFill="1" applyBorder="1" applyAlignment="1">
      <alignment horizontal="left" vertical="center"/>
    </xf>
    <xf numFmtId="170" fontId="3" fillId="0" borderId="7" xfId="0" applyNumberFormat="1" applyFont="1" applyBorder="1" applyAlignment="1">
      <alignment horizontal="center" vertical="center"/>
    </xf>
    <xf numFmtId="170" fontId="3" fillId="0" borderId="13" xfId="2" applyNumberFormat="1" applyFont="1" applyBorder="1" applyAlignment="1">
      <alignment horizontal="center" vertical="center"/>
    </xf>
    <xf numFmtId="170" fontId="3" fillId="0" borderId="7" xfId="2" applyNumberFormat="1" applyFont="1" applyBorder="1" applyAlignment="1">
      <alignment horizontal="center" vertical="center"/>
    </xf>
    <xf numFmtId="170" fontId="3" fillId="0" borderId="9" xfId="2" applyNumberFormat="1" applyFont="1" applyBorder="1" applyAlignment="1">
      <alignment horizontal="center" vertical="center"/>
    </xf>
    <xf numFmtId="0" fontId="0" fillId="0" borderId="0" xfId="0" applyAlignment="1">
      <alignment vertical="center"/>
    </xf>
    <xf numFmtId="170" fontId="3" fillId="0" borderId="9" xfId="0" applyNumberFormat="1" applyFont="1" applyBorder="1" applyAlignment="1">
      <alignment horizontal="center" vertical="center"/>
    </xf>
    <xf numFmtId="0" fontId="31" fillId="5" borderId="6" xfId="0" applyFont="1" applyFill="1" applyBorder="1" applyAlignment="1">
      <alignment horizontal="right" vertical="center" wrapText="1"/>
    </xf>
    <xf numFmtId="170" fontId="31" fillId="0" borderId="7" xfId="2" applyNumberFormat="1" applyFont="1" applyBorder="1" applyAlignment="1">
      <alignment horizontal="center" vertical="center"/>
    </xf>
    <xf numFmtId="167" fontId="0" fillId="0" borderId="1" xfId="3" applyNumberFormat="1" applyFont="1" applyBorder="1" applyAlignment="1">
      <alignment horizontal="center"/>
    </xf>
    <xf numFmtId="167" fontId="3" fillId="3" borderId="1" xfId="0" applyNumberFormat="1" applyFont="1" applyFill="1" applyBorder="1" applyAlignment="1">
      <alignment horizontal="center"/>
    </xf>
    <xf numFmtId="0" fontId="32" fillId="0" borderId="1" xfId="1" applyNumberFormat="1" applyFont="1" applyBorder="1" applyAlignment="1">
      <alignment horizontal="center"/>
    </xf>
    <xf numFmtId="167" fontId="32" fillId="0" borderId="1" xfId="1" applyNumberFormat="1" applyFont="1" applyBorder="1" applyAlignment="1">
      <alignment horizontal="center"/>
    </xf>
    <xf numFmtId="0" fontId="33" fillId="0" borderId="0" xfId="0" applyFont="1"/>
    <xf numFmtId="0" fontId="35" fillId="0" borderId="0" xfId="0" applyFont="1"/>
    <xf numFmtId="0" fontId="3" fillId="6" borderId="6" xfId="0" applyFont="1" applyFill="1" applyBorder="1" applyAlignment="1">
      <alignment horizontal="left" vertical="center"/>
    </xf>
    <xf numFmtId="0" fontId="0" fillId="0" borderId="7" xfId="0" applyBorder="1"/>
    <xf numFmtId="0" fontId="0" fillId="0" borderId="9" xfId="0" applyBorder="1"/>
    <xf numFmtId="0" fontId="5" fillId="6" borderId="12" xfId="0" applyFont="1"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6" fillId="0" borderId="1" xfId="142" applyBorder="1"/>
    <xf numFmtId="0" fontId="36" fillId="0" borderId="16" xfId="142" applyBorder="1"/>
    <xf numFmtId="0" fontId="5" fillId="6" borderId="15" xfId="0" applyFont="1" applyFill="1" applyBorder="1" applyAlignment="1">
      <alignment horizontal="left"/>
    </xf>
    <xf numFmtId="0" fontId="5" fillId="6" borderId="13" xfId="0" applyFont="1" applyFill="1" applyBorder="1" applyAlignment="1">
      <alignment horizontal="left"/>
    </xf>
    <xf numFmtId="0" fontId="3" fillId="6" borderId="8"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12" xfId="0" applyFont="1" applyFill="1" applyBorder="1" applyAlignment="1">
      <alignment horizontal="left" vertical="center" wrapText="1"/>
    </xf>
    <xf numFmtId="170" fontId="3" fillId="0" borderId="13" xfId="0" applyNumberFormat="1" applyFont="1" applyBorder="1" applyAlignment="1">
      <alignment horizontal="center" vertical="center"/>
    </xf>
    <xf numFmtId="0" fontId="0" fillId="0" borderId="32" xfId="0" applyBorder="1"/>
    <xf numFmtId="0" fontId="0" fillId="0" borderId="33" xfId="0" applyBorder="1"/>
    <xf numFmtId="43" fontId="0" fillId="0" borderId="0" xfId="1" applyFont="1"/>
    <xf numFmtId="170" fontId="0" fillId="0" borderId="0" xfId="0" applyNumberFormat="1"/>
    <xf numFmtId="168" fontId="0" fillId="0" borderId="0" xfId="1" applyNumberFormat="1" applyFont="1"/>
    <xf numFmtId="44" fontId="0" fillId="0" borderId="0" xfId="0" applyNumberFormat="1"/>
    <xf numFmtId="43" fontId="0" fillId="0" borderId="0" xfId="1" applyFont="1" applyAlignment="1">
      <alignment vertical="center"/>
    </xf>
    <xf numFmtId="171" fontId="0" fillId="0" borderId="0" xfId="1" applyNumberFormat="1" applyFont="1"/>
    <xf numFmtId="170" fontId="34" fillId="0" borderId="0" xfId="0" applyNumberFormat="1" applyFont="1"/>
    <xf numFmtId="43" fontId="0" fillId="0" borderId="0" xfId="0" applyNumberFormat="1"/>
    <xf numFmtId="0" fontId="0" fillId="0" borderId="0" xfId="0"/>
    <xf numFmtId="166" fontId="0" fillId="0" borderId="0" xfId="0" applyNumberFormat="1"/>
    <xf numFmtId="43" fontId="2" fillId="4" borderId="0" xfId="1" applyFont="1" applyFill="1" applyAlignment="1">
      <alignment vertical="center"/>
    </xf>
    <xf numFmtId="43" fontId="2" fillId="2" borderId="0" xfId="1" applyFont="1" applyFill="1" applyBorder="1" applyAlignment="1">
      <alignment horizontal="left" vertical="center"/>
    </xf>
    <xf numFmtId="167" fontId="32" fillId="0" borderId="1" xfId="1" applyNumberFormat="1" applyFont="1" applyFill="1" applyBorder="1" applyAlignment="1">
      <alignment horizontal="center"/>
    </xf>
    <xf numFmtId="169" fontId="3" fillId="3" borderId="1" xfId="0" applyNumberFormat="1" applyFont="1" applyFill="1" applyBorder="1"/>
    <xf numFmtId="10" fontId="0" fillId="0" borderId="0" xfId="3" applyNumberFormat="1" applyFont="1"/>
    <xf numFmtId="0" fontId="3" fillId="6" borderId="43" xfId="0" applyFont="1" applyFill="1" applyBorder="1" applyAlignment="1">
      <alignment horizontal="center" vertical="center"/>
    </xf>
    <xf numFmtId="172" fontId="0" fillId="0" borderId="44" xfId="0" applyNumberFormat="1" applyBorder="1" applyAlignment="1">
      <alignment horizontal="center"/>
    </xf>
    <xf numFmtId="172" fontId="0" fillId="0" borderId="45" xfId="0" applyNumberFormat="1" applyBorder="1" applyAlignment="1">
      <alignment horizontal="center"/>
    </xf>
    <xf numFmtId="0" fontId="3" fillId="6" borderId="46" xfId="0" applyFont="1" applyFill="1" applyBorder="1" applyAlignment="1">
      <alignment horizontal="left" vertical="center"/>
    </xf>
    <xf numFmtId="0" fontId="0" fillId="0" borderId="17" xfId="0" applyBorder="1" applyAlignment="1">
      <alignment horizontal="left"/>
    </xf>
    <xf numFmtId="0" fontId="0" fillId="0" borderId="47" xfId="0" applyBorder="1" applyAlignment="1">
      <alignment horizontal="left"/>
    </xf>
    <xf numFmtId="0" fontId="0" fillId="0" borderId="48" xfId="0" applyBorder="1"/>
    <xf numFmtId="172" fontId="0" fillId="0" borderId="44" xfId="0" applyNumberFormat="1" applyFill="1" applyBorder="1" applyAlignment="1">
      <alignment horizontal="center"/>
    </xf>
    <xf numFmtId="166" fontId="0" fillId="0" borderId="42" xfId="2" applyNumberFormat="1" applyFont="1" applyBorder="1"/>
    <xf numFmtId="169" fontId="0" fillId="0" borderId="0" xfId="0" applyNumberFormat="1"/>
    <xf numFmtId="7" fontId="0" fillId="0" borderId="0" xfId="0" applyNumberFormat="1"/>
    <xf numFmtId="0" fontId="50" fillId="0" borderId="0" xfId="0" applyFont="1" applyAlignment="1">
      <alignment horizontal="center" wrapText="1"/>
    </xf>
    <xf numFmtId="167" fontId="51" fillId="0" borderId="1" xfId="0" applyNumberFormat="1" applyFont="1" applyBorder="1" applyAlignment="1">
      <alignment horizontal="center"/>
    </xf>
    <xf numFmtId="0" fontId="35" fillId="0" borderId="32" xfId="0" applyFont="1" applyBorder="1" applyAlignment="1">
      <alignment horizontal="left" wrapText="1"/>
    </xf>
    <xf numFmtId="0" fontId="35" fillId="0" borderId="33" xfId="0" applyFont="1" applyBorder="1" applyAlignment="1">
      <alignment horizontal="left" wrapText="1"/>
    </xf>
    <xf numFmtId="0" fontId="0" fillId="0" borderId="33" xfId="0" applyBorder="1" applyAlignment="1">
      <alignment horizontal="left"/>
    </xf>
    <xf numFmtId="0" fontId="0" fillId="0" borderId="32" xfId="0" applyBorder="1" applyAlignment="1">
      <alignment horizontal="left" wrapText="1"/>
    </xf>
    <xf numFmtId="0" fontId="0" fillId="0" borderId="33" xfId="0" applyBorder="1" applyAlignment="1">
      <alignment horizontal="left" wrapText="1"/>
    </xf>
    <xf numFmtId="0" fontId="0" fillId="0" borderId="0" xfId="0" applyAlignment="1">
      <alignment horizontal="left"/>
    </xf>
    <xf numFmtId="43" fontId="0" fillId="0" borderId="1" xfId="1" applyFont="1" applyBorder="1" applyAlignment="1" applyProtection="1">
      <alignment vertical="center"/>
    </xf>
    <xf numFmtId="0" fontId="35" fillId="0" borderId="0" xfId="0" applyFont="1" applyAlignment="1">
      <alignment horizontal="left" wrapText="1"/>
    </xf>
    <xf numFmtId="0" fontId="0" fillId="0" borderId="0" xfId="0" applyAlignment="1">
      <alignment wrapText="1"/>
    </xf>
    <xf numFmtId="0" fontId="0" fillId="0" borderId="33" xfId="0" applyBorder="1" applyAlignment="1">
      <alignment wrapText="1"/>
    </xf>
    <xf numFmtId="0" fontId="0" fillId="0" borderId="0" xfId="0" applyAlignment="1">
      <alignment horizontal="left" wrapText="1"/>
    </xf>
    <xf numFmtId="0" fontId="5" fillId="6" borderId="1" xfId="0" applyFont="1" applyFill="1" applyBorder="1" applyAlignment="1">
      <alignment horizontal="center" vertical="center" wrapText="1"/>
    </xf>
    <xf numFmtId="168" fontId="6" fillId="0" borderId="1" xfId="1" applyNumberFormat="1" applyFont="1" applyFill="1" applyBorder="1"/>
    <xf numFmtId="168" fontId="5" fillId="3" borderId="1" xfId="1" applyNumberFormat="1" applyFont="1" applyFill="1" applyBorder="1"/>
    <xf numFmtId="167" fontId="5" fillId="3" borderId="1" xfId="3" applyNumberFormat="1" applyFont="1" applyFill="1" applyBorder="1" applyAlignment="1">
      <alignment horizontal="center"/>
    </xf>
    <xf numFmtId="170" fontId="0" fillId="0" borderId="0" xfId="0" applyNumberFormat="1" applyAlignment="1">
      <alignment vertical="center"/>
    </xf>
    <xf numFmtId="166" fontId="0" fillId="0" borderId="0" xfId="3" applyNumberFormat="1" applyFont="1"/>
    <xf numFmtId="0" fontId="0" fillId="0" borderId="14" xfId="0" applyBorder="1" applyAlignment="1">
      <alignment horizontal="left" vertical="top"/>
    </xf>
    <xf numFmtId="0" fontId="0" fillId="0" borderId="18"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35" fillId="0" borderId="29" xfId="0" applyFont="1" applyBorder="1" applyAlignment="1">
      <alignment horizontal="left" wrapText="1"/>
    </xf>
    <xf numFmtId="0" fontId="35" fillId="0" borderId="30" xfId="0" applyFont="1" applyBorder="1" applyAlignment="1">
      <alignment horizontal="left" wrapText="1"/>
    </xf>
    <xf numFmtId="0" fontId="35" fillId="0" borderId="31" xfId="0" applyFont="1" applyBorder="1" applyAlignment="1">
      <alignment horizontal="left" wrapText="1"/>
    </xf>
    <xf numFmtId="0" fontId="9" fillId="0" borderId="34" xfId="0" applyFont="1" applyBorder="1" applyAlignment="1">
      <alignment horizontal="left"/>
    </xf>
    <xf numFmtId="0" fontId="35" fillId="0" borderId="3" xfId="0" applyFont="1" applyBorder="1" applyAlignment="1">
      <alignment horizontal="left"/>
    </xf>
    <xf numFmtId="0" fontId="35" fillId="0" borderId="35" xfId="0" applyFont="1" applyBorder="1" applyAlignment="1">
      <alignment horizontal="left"/>
    </xf>
    <xf numFmtId="0" fontId="6" fillId="0" borderId="32" xfId="0" applyFont="1" applyBorder="1" applyAlignment="1">
      <alignment horizontal="left" vertical="center" wrapText="1"/>
    </xf>
    <xf numFmtId="0" fontId="6" fillId="0" borderId="0" xfId="0" applyFont="1" applyAlignment="1">
      <alignment horizontal="left" vertical="center" wrapText="1"/>
    </xf>
    <xf numFmtId="0" fontId="6" fillId="0" borderId="33" xfId="0" applyFont="1" applyBorder="1" applyAlignment="1">
      <alignment horizontal="left" vertical="center" wrapText="1"/>
    </xf>
    <xf numFmtId="0" fontId="35" fillId="0" borderId="32" xfId="0" applyFont="1" applyBorder="1" applyAlignment="1">
      <alignment horizontal="left" wrapText="1"/>
    </xf>
    <xf numFmtId="0" fontId="35" fillId="0" borderId="0" xfId="0" applyFont="1" applyAlignment="1">
      <alignment horizontal="left" wrapText="1"/>
    </xf>
    <xf numFmtId="0" fontId="35" fillId="0" borderId="33" xfId="0" applyFont="1" applyBorder="1" applyAlignment="1">
      <alignment horizontal="left" wrapText="1"/>
    </xf>
    <xf numFmtId="0" fontId="0" fillId="0" borderId="32" xfId="0" applyBorder="1" applyAlignment="1">
      <alignment horizontal="left" wrapText="1"/>
    </xf>
    <xf numFmtId="0" fontId="0" fillId="0" borderId="0" xfId="0"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 xfId="0" applyBorder="1" applyAlignment="1">
      <alignment horizontal="left" wrapText="1"/>
    </xf>
    <xf numFmtId="0" fontId="0" fillId="0" borderId="35"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xf>
    <xf numFmtId="0" fontId="0" fillId="0" borderId="31" xfId="0" applyBorder="1" applyAlignment="1">
      <alignment horizontal="left"/>
    </xf>
    <xf numFmtId="0" fontId="0" fillId="0" borderId="0" xfId="0" applyAlignment="1">
      <alignment horizontal="left"/>
    </xf>
    <xf numFmtId="0" fontId="0" fillId="0" borderId="33" xfId="0" applyBorder="1" applyAlignment="1">
      <alignment horizontal="left"/>
    </xf>
  </cellXfs>
  <cellStyles count="182">
    <cellStyle name="20% - Accent1 2" xfId="6" xr:uid="{00000000-0005-0000-0000-000000000000}"/>
    <cellStyle name="20% - Accent1 3" xfId="9" xr:uid="{00000000-0005-0000-0000-000001000000}"/>
    <cellStyle name="20% - Accent1 4" xfId="5" xr:uid="{00000000-0005-0000-0000-000002000000}"/>
    <cellStyle name="20% - Accent2 2" xfId="11" xr:uid="{00000000-0005-0000-0000-000003000000}"/>
    <cellStyle name="20% - Accent2 3" xfId="12" xr:uid="{00000000-0005-0000-0000-000004000000}"/>
    <cellStyle name="20% - Accent2 4" xfId="10" xr:uid="{00000000-0005-0000-0000-000005000000}"/>
    <cellStyle name="20% - Accent3 2" xfId="14" xr:uid="{00000000-0005-0000-0000-000006000000}"/>
    <cellStyle name="20% - Accent3 3" xfId="15" xr:uid="{00000000-0005-0000-0000-000007000000}"/>
    <cellStyle name="20% - Accent3 4" xfId="13" xr:uid="{00000000-0005-0000-0000-000008000000}"/>
    <cellStyle name="20% - Accent4 2" xfId="17" xr:uid="{00000000-0005-0000-0000-000009000000}"/>
    <cellStyle name="20% - Accent4 3" xfId="18" xr:uid="{00000000-0005-0000-0000-00000A000000}"/>
    <cellStyle name="20% - Accent4 4" xfId="16" xr:uid="{00000000-0005-0000-0000-00000B000000}"/>
    <cellStyle name="20% - Accent5 2" xfId="20" xr:uid="{00000000-0005-0000-0000-00000C000000}"/>
    <cellStyle name="20% - Accent5 3" xfId="21" xr:uid="{00000000-0005-0000-0000-00000D000000}"/>
    <cellStyle name="20% - Accent5 4" xfId="19" xr:uid="{00000000-0005-0000-0000-00000E000000}"/>
    <cellStyle name="20% - Accent6 2" xfId="23" xr:uid="{00000000-0005-0000-0000-00000F000000}"/>
    <cellStyle name="20% - Accent6 3" xfId="24" xr:uid="{00000000-0005-0000-0000-000010000000}"/>
    <cellStyle name="20% - Accent6 4" xfId="22" xr:uid="{00000000-0005-0000-0000-000011000000}"/>
    <cellStyle name="40% - Accent1 2" xfId="26" xr:uid="{00000000-0005-0000-0000-000012000000}"/>
    <cellStyle name="40% - Accent1 3" xfId="27" xr:uid="{00000000-0005-0000-0000-000013000000}"/>
    <cellStyle name="40% - Accent1 4" xfId="25" xr:uid="{00000000-0005-0000-0000-000014000000}"/>
    <cellStyle name="40% - Accent2 2" xfId="29" xr:uid="{00000000-0005-0000-0000-000015000000}"/>
    <cellStyle name="40% - Accent2 3" xfId="30" xr:uid="{00000000-0005-0000-0000-000016000000}"/>
    <cellStyle name="40% - Accent2 4" xfId="28" xr:uid="{00000000-0005-0000-0000-000017000000}"/>
    <cellStyle name="40% - Accent3 2" xfId="32" xr:uid="{00000000-0005-0000-0000-000018000000}"/>
    <cellStyle name="40% - Accent3 3" xfId="33" xr:uid="{00000000-0005-0000-0000-000019000000}"/>
    <cellStyle name="40% - Accent3 4" xfId="31" xr:uid="{00000000-0005-0000-0000-00001A000000}"/>
    <cellStyle name="40% - Accent4 2" xfId="35" xr:uid="{00000000-0005-0000-0000-00001B000000}"/>
    <cellStyle name="40% - Accent4 3" xfId="36" xr:uid="{00000000-0005-0000-0000-00001C000000}"/>
    <cellStyle name="40% - Accent4 4" xfId="34" xr:uid="{00000000-0005-0000-0000-00001D000000}"/>
    <cellStyle name="40% - Accent5 2" xfId="38" xr:uid="{00000000-0005-0000-0000-00001E000000}"/>
    <cellStyle name="40% - Accent5 3" xfId="39" xr:uid="{00000000-0005-0000-0000-00001F000000}"/>
    <cellStyle name="40% - Accent5 4" xfId="37" xr:uid="{00000000-0005-0000-0000-000020000000}"/>
    <cellStyle name="40% - Accent6 2" xfId="41" xr:uid="{00000000-0005-0000-0000-000021000000}"/>
    <cellStyle name="40% - Accent6 3" xfId="42" xr:uid="{00000000-0005-0000-0000-000022000000}"/>
    <cellStyle name="40% - Accent6 4" xfId="40" xr:uid="{00000000-0005-0000-0000-000023000000}"/>
    <cellStyle name="60% - Accent1 2" xfId="44" xr:uid="{00000000-0005-0000-0000-000024000000}"/>
    <cellStyle name="60% - Accent1 3" xfId="45" xr:uid="{00000000-0005-0000-0000-000025000000}"/>
    <cellStyle name="60% - Accent1 4" xfId="43" xr:uid="{00000000-0005-0000-0000-000026000000}"/>
    <cellStyle name="60% - Accent2 2" xfId="47" xr:uid="{00000000-0005-0000-0000-000027000000}"/>
    <cellStyle name="60% - Accent2 3" xfId="48" xr:uid="{00000000-0005-0000-0000-000028000000}"/>
    <cellStyle name="60% - Accent2 4" xfId="46" xr:uid="{00000000-0005-0000-0000-000029000000}"/>
    <cellStyle name="60% - Accent3 2" xfId="50" xr:uid="{00000000-0005-0000-0000-00002A000000}"/>
    <cellStyle name="60% - Accent3 3" xfId="51" xr:uid="{00000000-0005-0000-0000-00002B000000}"/>
    <cellStyle name="60% - Accent3 4" xfId="49" xr:uid="{00000000-0005-0000-0000-00002C000000}"/>
    <cellStyle name="60% - Accent4 2" xfId="53" xr:uid="{00000000-0005-0000-0000-00002D000000}"/>
    <cellStyle name="60% - Accent4 3" xfId="54" xr:uid="{00000000-0005-0000-0000-00002E000000}"/>
    <cellStyle name="60% - Accent4 4" xfId="52" xr:uid="{00000000-0005-0000-0000-00002F000000}"/>
    <cellStyle name="60% - Accent5 2" xfId="56" xr:uid="{00000000-0005-0000-0000-000030000000}"/>
    <cellStyle name="60% - Accent5 3" xfId="57" xr:uid="{00000000-0005-0000-0000-000031000000}"/>
    <cellStyle name="60% - Accent5 4" xfId="55" xr:uid="{00000000-0005-0000-0000-000032000000}"/>
    <cellStyle name="60% - Accent6 2" xfId="59" xr:uid="{00000000-0005-0000-0000-000033000000}"/>
    <cellStyle name="60% - Accent6 3" xfId="60" xr:uid="{00000000-0005-0000-0000-000034000000}"/>
    <cellStyle name="60% - Accent6 4" xfId="58" xr:uid="{00000000-0005-0000-0000-000035000000}"/>
    <cellStyle name="Accent1 2" xfId="62" xr:uid="{00000000-0005-0000-0000-000036000000}"/>
    <cellStyle name="Accent1 3" xfId="63" xr:uid="{00000000-0005-0000-0000-000037000000}"/>
    <cellStyle name="Accent1 4" xfId="61" xr:uid="{00000000-0005-0000-0000-000038000000}"/>
    <cellStyle name="Accent2 2" xfId="65" xr:uid="{00000000-0005-0000-0000-000039000000}"/>
    <cellStyle name="Accent2 3" xfId="66" xr:uid="{00000000-0005-0000-0000-00003A000000}"/>
    <cellStyle name="Accent2 4" xfId="64" xr:uid="{00000000-0005-0000-0000-00003B000000}"/>
    <cellStyle name="Accent3 2" xfId="68" xr:uid="{00000000-0005-0000-0000-00003C000000}"/>
    <cellStyle name="Accent3 3" xfId="69" xr:uid="{00000000-0005-0000-0000-00003D000000}"/>
    <cellStyle name="Accent3 4" xfId="67" xr:uid="{00000000-0005-0000-0000-00003E000000}"/>
    <cellStyle name="Accent4 2" xfId="71" xr:uid="{00000000-0005-0000-0000-00003F000000}"/>
    <cellStyle name="Accent4 3" xfId="72" xr:uid="{00000000-0005-0000-0000-000040000000}"/>
    <cellStyle name="Accent4 4" xfId="70" xr:uid="{00000000-0005-0000-0000-000041000000}"/>
    <cellStyle name="Accent5 2" xfId="74" xr:uid="{00000000-0005-0000-0000-000042000000}"/>
    <cellStyle name="Accent5 3" xfId="75" xr:uid="{00000000-0005-0000-0000-000043000000}"/>
    <cellStyle name="Accent5 4" xfId="73" xr:uid="{00000000-0005-0000-0000-000044000000}"/>
    <cellStyle name="Accent6 2" xfId="77" xr:uid="{00000000-0005-0000-0000-000045000000}"/>
    <cellStyle name="Accent6 3" xfId="78" xr:uid="{00000000-0005-0000-0000-000046000000}"/>
    <cellStyle name="Accent6 4" xfId="76" xr:uid="{00000000-0005-0000-0000-000047000000}"/>
    <cellStyle name="Bad 2" xfId="80" xr:uid="{00000000-0005-0000-0000-000048000000}"/>
    <cellStyle name="Bad 3" xfId="81" xr:uid="{00000000-0005-0000-0000-000049000000}"/>
    <cellStyle name="Bad 4" xfId="79" xr:uid="{00000000-0005-0000-0000-00004A000000}"/>
    <cellStyle name="Calculation 2" xfId="83" xr:uid="{00000000-0005-0000-0000-00004B000000}"/>
    <cellStyle name="Calculation 3" xfId="84" xr:uid="{00000000-0005-0000-0000-00004C000000}"/>
    <cellStyle name="Calculation 4" xfId="82" xr:uid="{00000000-0005-0000-0000-00004D000000}"/>
    <cellStyle name="Check Cell 2" xfId="86" xr:uid="{00000000-0005-0000-0000-00004E000000}"/>
    <cellStyle name="Check Cell 3" xfId="87" xr:uid="{00000000-0005-0000-0000-00004F000000}"/>
    <cellStyle name="Check Cell 4" xfId="85" xr:uid="{00000000-0005-0000-0000-000050000000}"/>
    <cellStyle name="Comma" xfId="1" builtinId="3"/>
    <cellStyle name="Comma 2" xfId="4" xr:uid="{00000000-0005-0000-0000-000052000000}"/>
    <cellStyle name="Comma 3" xfId="88" xr:uid="{00000000-0005-0000-0000-000053000000}"/>
    <cellStyle name="Comma0" xfId="89" xr:uid="{00000000-0005-0000-0000-000054000000}"/>
    <cellStyle name="Currency" xfId="2" builtinId="4"/>
    <cellStyle name="Currency 2" xfId="7" xr:uid="{00000000-0005-0000-0000-000056000000}"/>
    <cellStyle name="Currency 2 2" xfId="91" xr:uid="{00000000-0005-0000-0000-000057000000}"/>
    <cellStyle name="Currency 3" xfId="90" xr:uid="{00000000-0005-0000-0000-000058000000}"/>
    <cellStyle name="Currency 4" xfId="181" xr:uid="{00000000-0005-0000-0000-000059000000}"/>
    <cellStyle name="Currency0" xfId="92" xr:uid="{00000000-0005-0000-0000-00005A000000}"/>
    <cellStyle name="Explanatory Text 2" xfId="94" xr:uid="{00000000-0005-0000-0000-00005B000000}"/>
    <cellStyle name="Explanatory Text 3" xfId="95" xr:uid="{00000000-0005-0000-0000-00005C000000}"/>
    <cellStyle name="Explanatory Text 4" xfId="93" xr:uid="{00000000-0005-0000-0000-00005D000000}"/>
    <cellStyle name="Good 2" xfId="97" xr:uid="{00000000-0005-0000-0000-00005E000000}"/>
    <cellStyle name="Good 3" xfId="98" xr:uid="{00000000-0005-0000-0000-00005F000000}"/>
    <cellStyle name="Good 4" xfId="96" xr:uid="{00000000-0005-0000-0000-000060000000}"/>
    <cellStyle name="Heading 1 2" xfId="100" xr:uid="{00000000-0005-0000-0000-000061000000}"/>
    <cellStyle name="Heading 1 3" xfId="101" xr:uid="{00000000-0005-0000-0000-000062000000}"/>
    <cellStyle name="Heading 1 4" xfId="99" xr:uid="{00000000-0005-0000-0000-000063000000}"/>
    <cellStyle name="Heading 2 2" xfId="103" xr:uid="{00000000-0005-0000-0000-000064000000}"/>
    <cellStyle name="Heading 2 3" xfId="104" xr:uid="{00000000-0005-0000-0000-000065000000}"/>
    <cellStyle name="Heading 2 4" xfId="102" xr:uid="{00000000-0005-0000-0000-000066000000}"/>
    <cellStyle name="Heading 3 2" xfId="106" xr:uid="{00000000-0005-0000-0000-000067000000}"/>
    <cellStyle name="Heading 3 3" xfId="107" xr:uid="{00000000-0005-0000-0000-000068000000}"/>
    <cellStyle name="Heading 3 4" xfId="105" xr:uid="{00000000-0005-0000-0000-000069000000}"/>
    <cellStyle name="Heading 4 2" xfId="109" xr:uid="{00000000-0005-0000-0000-00006A000000}"/>
    <cellStyle name="Heading 4 3" xfId="110" xr:uid="{00000000-0005-0000-0000-00006B000000}"/>
    <cellStyle name="Heading 4 4" xfId="108" xr:uid="{00000000-0005-0000-0000-00006C000000}"/>
    <cellStyle name="Hyperlink" xfId="142" builtinId="8"/>
    <cellStyle name="Input 2" xfId="112" xr:uid="{00000000-0005-0000-0000-00006E000000}"/>
    <cellStyle name="Input 3" xfId="113" xr:uid="{00000000-0005-0000-0000-00006F000000}"/>
    <cellStyle name="Input 4" xfId="111" xr:uid="{00000000-0005-0000-0000-000070000000}"/>
    <cellStyle name="Linked Cell 2" xfId="115" xr:uid="{00000000-0005-0000-0000-000071000000}"/>
    <cellStyle name="Linked Cell 3" xfId="116" xr:uid="{00000000-0005-0000-0000-000072000000}"/>
    <cellStyle name="Linked Cell 4" xfId="114" xr:uid="{00000000-0005-0000-0000-000073000000}"/>
    <cellStyle name="Neutral 2" xfId="118" xr:uid="{00000000-0005-0000-0000-000074000000}"/>
    <cellStyle name="Neutral 3" xfId="119" xr:uid="{00000000-0005-0000-0000-000075000000}"/>
    <cellStyle name="Neutral 4" xfId="117" xr:uid="{00000000-0005-0000-0000-000076000000}"/>
    <cellStyle name="Normal" xfId="0" builtinId="0"/>
    <cellStyle name="Normal 18" xfId="120" xr:uid="{00000000-0005-0000-0000-000078000000}"/>
    <cellStyle name="Normal 2" xfId="121" xr:uid="{00000000-0005-0000-0000-000079000000}"/>
    <cellStyle name="Normal 2 2" xfId="122" xr:uid="{00000000-0005-0000-0000-00007A000000}"/>
    <cellStyle name="Normal 3" xfId="8" xr:uid="{00000000-0005-0000-0000-00007B000000}"/>
    <cellStyle name="Normal 3 3" xfId="123" xr:uid="{00000000-0005-0000-0000-00007C000000}"/>
    <cellStyle name="Normal 5" xfId="124" xr:uid="{00000000-0005-0000-0000-00007D000000}"/>
    <cellStyle name="Note 2" xfId="126" xr:uid="{00000000-0005-0000-0000-00007E000000}"/>
    <cellStyle name="Note 3" xfId="127" xr:uid="{00000000-0005-0000-0000-00007F000000}"/>
    <cellStyle name="Note 4" xfId="125" xr:uid="{00000000-0005-0000-0000-000080000000}"/>
    <cellStyle name="Output 2" xfId="129" xr:uid="{00000000-0005-0000-0000-000081000000}"/>
    <cellStyle name="Output 3" xfId="130" xr:uid="{00000000-0005-0000-0000-000082000000}"/>
    <cellStyle name="Output 4" xfId="128" xr:uid="{00000000-0005-0000-0000-000083000000}"/>
    <cellStyle name="Percent" xfId="3" builtinId="5"/>
    <cellStyle name="Percent 2" xfId="132" xr:uid="{00000000-0005-0000-0000-000085000000}"/>
    <cellStyle name="Percent 3" xfId="131" xr:uid="{00000000-0005-0000-0000-000086000000}"/>
    <cellStyle name="SAPBorder" xfId="162" xr:uid="{00000000-0005-0000-0000-000087000000}"/>
    <cellStyle name="SAPDataCell" xfId="144" xr:uid="{00000000-0005-0000-0000-000088000000}"/>
    <cellStyle name="SAPDataTotalCell" xfId="145" xr:uid="{00000000-0005-0000-0000-000089000000}"/>
    <cellStyle name="SAPDimensionCell" xfId="143" xr:uid="{00000000-0005-0000-0000-00008A000000}"/>
    <cellStyle name="SAPEditableDataCell" xfId="147" xr:uid="{00000000-0005-0000-0000-00008B000000}"/>
    <cellStyle name="SAPEditableDataTotalCell" xfId="150" xr:uid="{00000000-0005-0000-0000-00008C000000}"/>
    <cellStyle name="SAPEmphasized" xfId="170" xr:uid="{00000000-0005-0000-0000-00008D000000}"/>
    <cellStyle name="SAPEmphasizedEditableDataCell" xfId="172" xr:uid="{00000000-0005-0000-0000-00008E000000}"/>
    <cellStyle name="SAPEmphasizedEditableDataTotalCell" xfId="173" xr:uid="{00000000-0005-0000-0000-00008F000000}"/>
    <cellStyle name="SAPEmphasizedLockedDataCell" xfId="176" xr:uid="{00000000-0005-0000-0000-000090000000}"/>
    <cellStyle name="SAPEmphasizedLockedDataTotalCell" xfId="177" xr:uid="{00000000-0005-0000-0000-000091000000}"/>
    <cellStyle name="SAPEmphasizedReadonlyDataCell" xfId="174" xr:uid="{00000000-0005-0000-0000-000092000000}"/>
    <cellStyle name="SAPEmphasizedReadonlyDataTotalCell" xfId="175" xr:uid="{00000000-0005-0000-0000-000093000000}"/>
    <cellStyle name="SAPEmphasizedTotal" xfId="171" xr:uid="{00000000-0005-0000-0000-000094000000}"/>
    <cellStyle name="SAPError" xfId="180" xr:uid="{00000000-0005-0000-0000-000095000000}"/>
    <cellStyle name="SAPExceptionLevel1" xfId="153" xr:uid="{00000000-0005-0000-0000-000096000000}"/>
    <cellStyle name="SAPExceptionLevel2" xfId="154" xr:uid="{00000000-0005-0000-0000-000097000000}"/>
    <cellStyle name="SAPExceptionLevel3" xfId="155" xr:uid="{00000000-0005-0000-0000-000098000000}"/>
    <cellStyle name="SAPExceptionLevel4" xfId="156" xr:uid="{00000000-0005-0000-0000-000099000000}"/>
    <cellStyle name="SAPExceptionLevel5" xfId="157" xr:uid="{00000000-0005-0000-0000-00009A000000}"/>
    <cellStyle name="SAPExceptionLevel6" xfId="158" xr:uid="{00000000-0005-0000-0000-00009B000000}"/>
    <cellStyle name="SAPExceptionLevel7" xfId="159" xr:uid="{00000000-0005-0000-0000-00009C000000}"/>
    <cellStyle name="SAPExceptionLevel8" xfId="160" xr:uid="{00000000-0005-0000-0000-00009D000000}"/>
    <cellStyle name="SAPExceptionLevel9" xfId="161" xr:uid="{00000000-0005-0000-0000-00009E000000}"/>
    <cellStyle name="SAPFormula" xfId="179" xr:uid="{00000000-0005-0000-0000-00009F000000}"/>
    <cellStyle name="SAPGroupingFillCell" xfId="146" xr:uid="{00000000-0005-0000-0000-0000A0000000}"/>
    <cellStyle name="SAPHierarchyCell0" xfId="165" xr:uid="{00000000-0005-0000-0000-0000A1000000}"/>
    <cellStyle name="SAPHierarchyCell1" xfId="166" xr:uid="{00000000-0005-0000-0000-0000A2000000}"/>
    <cellStyle name="SAPHierarchyCell2" xfId="167" xr:uid="{00000000-0005-0000-0000-0000A3000000}"/>
    <cellStyle name="SAPHierarchyCell3" xfId="168" xr:uid="{00000000-0005-0000-0000-0000A4000000}"/>
    <cellStyle name="SAPHierarchyCell4" xfId="169" xr:uid="{00000000-0005-0000-0000-0000A5000000}"/>
    <cellStyle name="SAPLockedDataCell" xfId="149" xr:uid="{00000000-0005-0000-0000-0000A6000000}"/>
    <cellStyle name="SAPLockedDataTotalCell" xfId="152" xr:uid="{00000000-0005-0000-0000-0000A7000000}"/>
    <cellStyle name="SAPMemberCell" xfId="163" xr:uid="{00000000-0005-0000-0000-0000A8000000}"/>
    <cellStyle name="SAPMemberTotalCell" xfId="164" xr:uid="{00000000-0005-0000-0000-0000A9000000}"/>
    <cellStyle name="SAPMessageText" xfId="178" xr:uid="{00000000-0005-0000-0000-0000AA000000}"/>
    <cellStyle name="SAPReadonlyDataCell" xfId="148" xr:uid="{00000000-0005-0000-0000-0000AB000000}"/>
    <cellStyle name="SAPReadonlyDataTotalCell" xfId="151" xr:uid="{00000000-0005-0000-0000-0000AC000000}"/>
    <cellStyle name="Title 2" xfId="134" xr:uid="{00000000-0005-0000-0000-0000AD000000}"/>
    <cellStyle name="Title 3" xfId="135" xr:uid="{00000000-0005-0000-0000-0000AE000000}"/>
    <cellStyle name="Title 4" xfId="133" xr:uid="{00000000-0005-0000-0000-0000AF000000}"/>
    <cellStyle name="Total 2" xfId="137" xr:uid="{00000000-0005-0000-0000-0000B0000000}"/>
    <cellStyle name="Total 3" xfId="138" xr:uid="{00000000-0005-0000-0000-0000B1000000}"/>
    <cellStyle name="Total 4" xfId="136" xr:uid="{00000000-0005-0000-0000-0000B2000000}"/>
    <cellStyle name="Warning Text 2" xfId="140" xr:uid="{00000000-0005-0000-0000-0000B3000000}"/>
    <cellStyle name="Warning Text 3" xfId="141" xr:uid="{00000000-0005-0000-0000-0000B4000000}"/>
    <cellStyle name="Warning Text 4" xfId="139" xr:uid="{00000000-0005-0000-0000-0000B5000000}"/>
  </cellStyles>
  <dxfs count="0"/>
  <tableStyles count="0" defaultTableStyle="TableStyleMedium2" defaultPivotStyle="PivotStyleLight16"/>
  <colors>
    <mruColors>
      <color rgb="FF0000FF"/>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943448</xdr:colOff>
      <xdr:row>4</xdr:row>
      <xdr:rowOff>163069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943448" cy="734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338331</xdr:colOff>
      <xdr:row>4</xdr:row>
      <xdr:rowOff>163069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943448" cy="7345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338331</xdr:colOff>
      <xdr:row>4</xdr:row>
      <xdr:rowOff>163069</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943448" cy="734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338331</xdr:colOff>
      <xdr:row>4</xdr:row>
      <xdr:rowOff>163069</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943448" cy="734569"/>
        </a:xfrm>
        <a:prstGeom prst="rect">
          <a:avLst/>
        </a:prstGeom>
      </xdr:spPr>
    </xdr:pic>
    <xdr:clientData/>
  </xdr:twoCellAnchor>
  <xdr:twoCellAnchor editAs="oneCell">
    <xdr:from>
      <xdr:col>1</xdr:col>
      <xdr:colOff>0</xdr:colOff>
      <xdr:row>9</xdr:row>
      <xdr:rowOff>0</xdr:rowOff>
    </xdr:from>
    <xdr:to>
      <xdr:col>11</xdr:col>
      <xdr:colOff>507436</xdr:colOff>
      <xdr:row>38</xdr:row>
      <xdr:rowOff>81189</xdr:rowOff>
    </xdr:to>
    <xdr:pic>
      <xdr:nvPicPr>
        <xdr:cNvPr id="4" name="Picture 3">
          <a:extLst>
            <a:ext uri="{FF2B5EF4-FFF2-40B4-BE49-F238E27FC236}">
              <a16:creationId xmlns:a16="http://schemas.microsoft.com/office/drawing/2014/main" id="{C938CEF6-9978-4ADB-8E91-28514794C0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913" y="1777042"/>
          <a:ext cx="6718455" cy="5334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943448</xdr:colOff>
      <xdr:row>4</xdr:row>
      <xdr:rowOff>173217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943448" cy="7345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4:E35"/>
  <sheetViews>
    <sheetView showGridLines="0" tabSelected="1" zoomScale="85" zoomScaleNormal="85" workbookViewId="0"/>
  </sheetViews>
  <sheetFormatPr defaultRowHeight="14.3" x14ac:dyDescent="0.25"/>
  <cols>
    <col min="1" max="1" width="3.375" customWidth="1"/>
    <col min="2" max="2" width="18.375" customWidth="1"/>
    <col min="3" max="3" width="32.125" bestFit="1" customWidth="1"/>
    <col min="4" max="4" width="14.375" customWidth="1"/>
  </cols>
  <sheetData>
    <row r="4" spans="2:5" x14ac:dyDescent="0.25">
      <c r="D4" s="80"/>
    </row>
    <row r="5" spans="2:5" x14ac:dyDescent="0.25">
      <c r="D5" s="80"/>
    </row>
    <row r="6" spans="2:5" ht="24.45" x14ac:dyDescent="0.35">
      <c r="B6" s="19" t="s">
        <v>85</v>
      </c>
      <c r="D6" s="80"/>
    </row>
    <row r="7" spans="2:5" ht="14.95" thickBot="1" x14ac:dyDescent="0.3">
      <c r="D7" s="80"/>
    </row>
    <row r="8" spans="2:5" x14ac:dyDescent="0.25">
      <c r="B8" s="41" t="s">
        <v>6</v>
      </c>
      <c r="C8" s="90" t="s">
        <v>7</v>
      </c>
      <c r="D8" s="87" t="s">
        <v>50</v>
      </c>
    </row>
    <row r="9" spans="2:5" x14ac:dyDescent="0.25">
      <c r="B9" s="117" t="s">
        <v>0</v>
      </c>
      <c r="C9" s="91" t="s">
        <v>11</v>
      </c>
      <c r="D9" s="88">
        <f>+Model!AI16-Model!AI13</f>
        <v>0.8449070829066585</v>
      </c>
    </row>
    <row r="10" spans="2:5" x14ac:dyDescent="0.25">
      <c r="B10" s="119"/>
      <c r="C10" s="91" t="s">
        <v>12</v>
      </c>
      <c r="D10" s="88">
        <f>+Model!AI17</f>
        <v>9.2170755000195044</v>
      </c>
      <c r="E10" s="79"/>
    </row>
    <row r="11" spans="2:5" x14ac:dyDescent="0.25">
      <c r="B11" s="119"/>
      <c r="C11" s="91" t="s">
        <v>13</v>
      </c>
      <c r="D11" s="88">
        <f>+Model!AI18</f>
        <v>10.236997788956089</v>
      </c>
      <c r="E11" s="79"/>
    </row>
    <row r="12" spans="2:5" x14ac:dyDescent="0.25">
      <c r="B12" s="119"/>
      <c r="C12" s="91" t="s">
        <v>14</v>
      </c>
      <c r="D12" s="88">
        <f>+Model!AI19</f>
        <v>8.7354455302438954</v>
      </c>
      <c r="E12" s="79"/>
    </row>
    <row r="13" spans="2:5" x14ac:dyDescent="0.25">
      <c r="B13" s="120"/>
      <c r="C13" s="91" t="s">
        <v>15</v>
      </c>
      <c r="D13" s="88">
        <f>+Model!AI20</f>
        <v>8.0271661629268216</v>
      </c>
      <c r="E13" s="79"/>
    </row>
    <row r="14" spans="2:5" x14ac:dyDescent="0.25">
      <c r="B14" s="117" t="s">
        <v>1</v>
      </c>
      <c r="C14" s="91" t="s">
        <v>16</v>
      </c>
      <c r="D14" s="88">
        <f>+Model!AI21</f>
        <v>15.194953360175599</v>
      </c>
      <c r="E14" s="79"/>
    </row>
    <row r="15" spans="2:5" x14ac:dyDescent="0.25">
      <c r="B15" s="119"/>
      <c r="C15" s="91" t="s">
        <v>17</v>
      </c>
      <c r="D15" s="88">
        <f>+Model!AI22</f>
        <v>15.194953360175598</v>
      </c>
      <c r="E15" s="79"/>
    </row>
    <row r="16" spans="2:5" x14ac:dyDescent="0.25">
      <c r="B16" s="119"/>
      <c r="C16" s="91" t="s">
        <v>18</v>
      </c>
      <c r="D16" s="88">
        <f>+Model!AI23</f>
        <v>30.984861388897531</v>
      </c>
      <c r="E16" s="79"/>
    </row>
    <row r="17" spans="2:5" x14ac:dyDescent="0.25">
      <c r="B17" s="119"/>
      <c r="C17" s="91" t="s">
        <v>19</v>
      </c>
      <c r="D17" s="88">
        <f>+Model!AI24</f>
        <v>30.984861388897531</v>
      </c>
      <c r="E17" s="79"/>
    </row>
    <row r="18" spans="2:5" x14ac:dyDescent="0.25">
      <c r="B18" s="120"/>
      <c r="C18" s="91" t="s">
        <v>20</v>
      </c>
      <c r="D18" s="88">
        <f>+Model!AI25</f>
        <v>30.984861388897531</v>
      </c>
      <c r="E18" s="79"/>
    </row>
    <row r="19" spans="2:5" x14ac:dyDescent="0.25">
      <c r="B19" s="117" t="s">
        <v>2</v>
      </c>
      <c r="C19" s="91" t="s">
        <v>21</v>
      </c>
      <c r="D19" s="88">
        <f>+Model!AI26</f>
        <v>31.183179611746304</v>
      </c>
      <c r="E19" s="79"/>
    </row>
    <row r="20" spans="2:5" x14ac:dyDescent="0.25">
      <c r="B20" s="119"/>
      <c r="C20" s="91" t="s">
        <v>22</v>
      </c>
      <c r="D20" s="88">
        <f>+Model!AI27</f>
        <v>25.535832123004859</v>
      </c>
      <c r="E20" s="79"/>
    </row>
    <row r="21" spans="2:5" x14ac:dyDescent="0.25">
      <c r="B21" s="119"/>
      <c r="C21" s="91" t="s">
        <v>23</v>
      </c>
      <c r="D21" s="88">
        <f>+Model!AI28</f>
        <v>39.918625141990205</v>
      </c>
      <c r="E21" s="79"/>
    </row>
    <row r="22" spans="2:5" x14ac:dyDescent="0.25">
      <c r="B22" s="119"/>
      <c r="C22" s="91" t="s">
        <v>24</v>
      </c>
      <c r="D22" s="88">
        <f>+Model!AI29</f>
        <v>39.918625141990212</v>
      </c>
      <c r="E22" s="79"/>
    </row>
    <row r="23" spans="2:5" x14ac:dyDescent="0.25">
      <c r="B23" s="119"/>
      <c r="C23" s="91" t="s">
        <v>25</v>
      </c>
      <c r="D23" s="88">
        <f>+Model!AI30</f>
        <v>39.918625141990205</v>
      </c>
      <c r="E23" s="79"/>
    </row>
    <row r="24" spans="2:5" x14ac:dyDescent="0.25">
      <c r="B24" s="120"/>
      <c r="C24" s="91" t="s">
        <v>26</v>
      </c>
      <c r="D24" s="88">
        <f>+Model!AI31</f>
        <v>39.918625141990205</v>
      </c>
      <c r="E24" s="79"/>
    </row>
    <row r="25" spans="2:5" x14ac:dyDescent="0.25">
      <c r="B25" s="117" t="s">
        <v>3</v>
      </c>
      <c r="C25" s="91" t="s">
        <v>27</v>
      </c>
      <c r="D25" s="94">
        <f>+Model!AI32</f>
        <v>3.9380332822829232</v>
      </c>
      <c r="E25" s="79"/>
    </row>
    <row r="26" spans="2:5" x14ac:dyDescent="0.25">
      <c r="B26" s="119"/>
      <c r="C26" s="91" t="s">
        <v>28</v>
      </c>
      <c r="D26" s="94">
        <f>+Model!AI33</f>
        <v>3.938033282282924</v>
      </c>
      <c r="E26" s="79"/>
    </row>
    <row r="27" spans="2:5" x14ac:dyDescent="0.25">
      <c r="B27" s="120"/>
      <c r="C27" s="91" t="s">
        <v>29</v>
      </c>
      <c r="D27" s="94">
        <f>+Model!AI34</f>
        <v>3.9380332822829232</v>
      </c>
      <c r="E27" s="79"/>
    </row>
    <row r="28" spans="2:5" x14ac:dyDescent="0.25">
      <c r="B28" s="117" t="s">
        <v>4</v>
      </c>
      <c r="C28" s="91" t="s">
        <v>30</v>
      </c>
      <c r="D28" s="94">
        <f>+Model!AI35</f>
        <v>-0.87617083350243963</v>
      </c>
      <c r="E28" s="79"/>
    </row>
    <row r="29" spans="2:5" x14ac:dyDescent="0.25">
      <c r="B29" s="120"/>
      <c r="C29" s="91" t="s">
        <v>31</v>
      </c>
      <c r="D29" s="94">
        <f>+Model!AI36</f>
        <v>15.308278058946328</v>
      </c>
      <c r="E29" s="79"/>
    </row>
    <row r="30" spans="2:5" x14ac:dyDescent="0.25">
      <c r="B30" s="117" t="s">
        <v>5</v>
      </c>
      <c r="C30" s="91" t="s">
        <v>32</v>
      </c>
      <c r="D30" s="88">
        <f>+Model!AI37</f>
        <v>2.2570502505170711</v>
      </c>
      <c r="E30" s="79"/>
    </row>
    <row r="31" spans="2:5" ht="14.95" thickBot="1" x14ac:dyDescent="0.3">
      <c r="B31" s="118"/>
      <c r="C31" s="92" t="s">
        <v>33</v>
      </c>
      <c r="D31" s="89">
        <f>+Model!AI38</f>
        <v>2.2948251501073145</v>
      </c>
      <c r="E31" s="79"/>
    </row>
    <row r="32" spans="2:5" ht="14.95" thickBot="1" x14ac:dyDescent="0.3"/>
    <row r="33" spans="3:4" ht="14.95" thickBot="1" x14ac:dyDescent="0.3">
      <c r="C33" s="93" t="s">
        <v>52</v>
      </c>
      <c r="D33" s="95">
        <f>+Model!AJ13</f>
        <v>2840377.9412355814</v>
      </c>
    </row>
    <row r="35" spans="3:4" x14ac:dyDescent="0.25">
      <c r="D35" s="80"/>
    </row>
  </sheetData>
  <sheetProtection algorithmName="SHA-512" hashValue="gbm5zKi/gXGhrErldJhw46lPFJha4fPiGKTVs9bfsS0YQvpLHH0Gq1uzXJPtfpVj+k0zJPr60hN1dNlte5Lxkw==" saltValue="2kE8u84n0FmUx5B8aO52rg==" spinCount="100000" sheet="1" objects="1" scenarios="1"/>
  <mergeCells count="6">
    <mergeCell ref="B30:B31"/>
    <mergeCell ref="B9:B13"/>
    <mergeCell ref="B14:B18"/>
    <mergeCell ref="B19:B24"/>
    <mergeCell ref="B25:B27"/>
    <mergeCell ref="B28:B29"/>
  </mergeCells>
  <pageMargins left="0.7" right="0.7" top="0.75" bottom="0.75" header="0.3" footer="0.3"/>
  <pageSetup orientation="portrait" horizontalDpi="200" verticalDpi="200" r:id="rId1"/>
  <headerFooter>
    <oddHeader>&amp;A</oddHeader>
    <oddFooter>Page &amp;P of &amp;N</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D33"/>
  <sheetViews>
    <sheetView showGridLines="0" zoomScale="85" zoomScaleNormal="85" workbookViewId="0"/>
  </sheetViews>
  <sheetFormatPr defaultRowHeight="14.3" x14ac:dyDescent="0.25"/>
  <cols>
    <col min="1" max="1" width="3.375" style="33" customWidth="1"/>
    <col min="3" max="3" width="28.625" bestFit="1" customWidth="1"/>
    <col min="4" max="4" width="83.25" bestFit="1" customWidth="1"/>
  </cols>
  <sheetData>
    <row r="6" spans="2:4" ht="24.45" x14ac:dyDescent="0.35">
      <c r="B6" s="19" t="s">
        <v>86</v>
      </c>
    </row>
    <row r="8" spans="2:4" ht="14.3" customHeight="1" x14ac:dyDescent="0.25">
      <c r="B8" s="121" t="s">
        <v>88</v>
      </c>
      <c r="C8" s="122"/>
      <c r="D8" s="123"/>
    </row>
    <row r="9" spans="2:4" ht="7.5" customHeight="1" x14ac:dyDescent="0.25">
      <c r="B9" s="100"/>
      <c r="C9" s="107"/>
      <c r="D9" s="101"/>
    </row>
    <row r="10" spans="2:4" s="33" customFormat="1" ht="7.5" customHeight="1" x14ac:dyDescent="0.25">
      <c r="B10" s="127" t="s">
        <v>89</v>
      </c>
      <c r="C10" s="128"/>
      <c r="D10" s="129"/>
    </row>
    <row r="11" spans="2:4" s="33" customFormat="1" x14ac:dyDescent="0.25">
      <c r="B11" s="127"/>
      <c r="C11" s="128"/>
      <c r="D11" s="129"/>
    </row>
    <row r="12" spans="2:4" s="33" customFormat="1" x14ac:dyDescent="0.25">
      <c r="B12" s="127"/>
      <c r="C12" s="128"/>
      <c r="D12" s="129"/>
    </row>
    <row r="13" spans="2:4" s="33" customFormat="1" x14ac:dyDescent="0.25">
      <c r="B13" s="127"/>
      <c r="C13" s="128"/>
      <c r="D13" s="129"/>
    </row>
    <row r="14" spans="2:4" s="33" customFormat="1" ht="14.3" customHeight="1" x14ac:dyDescent="0.25">
      <c r="B14" s="127"/>
      <c r="C14" s="128"/>
      <c r="D14" s="129"/>
    </row>
    <row r="15" spans="2:4" s="80" customFormat="1" ht="7.5" customHeight="1" x14ac:dyDescent="0.25">
      <c r="B15" s="127"/>
      <c r="C15" s="128"/>
      <c r="D15" s="129"/>
    </row>
    <row r="16" spans="2:4" s="80" customFormat="1" ht="7.5" customHeight="1" x14ac:dyDescent="0.25">
      <c r="B16" s="70"/>
      <c r="D16" s="71"/>
    </row>
    <row r="17" spans="2:4" s="33" customFormat="1" x14ac:dyDescent="0.25">
      <c r="B17" s="130" t="s">
        <v>106</v>
      </c>
      <c r="C17" s="131"/>
      <c r="D17" s="132"/>
    </row>
    <row r="18" spans="2:4" ht="14.3" customHeight="1" x14ac:dyDescent="0.25">
      <c r="B18" s="100"/>
      <c r="C18" s="107"/>
      <c r="D18" s="101"/>
    </row>
    <row r="19" spans="2:4" x14ac:dyDescent="0.25">
      <c r="B19" s="130" t="s">
        <v>87</v>
      </c>
      <c r="C19" s="131"/>
      <c r="D19" s="132"/>
    </row>
    <row r="20" spans="2:4" x14ac:dyDescent="0.25">
      <c r="B20" s="124"/>
      <c r="C20" s="125"/>
      <c r="D20" s="126"/>
    </row>
    <row r="23" spans="2:4" ht="14.95" thickBot="1" x14ac:dyDescent="0.3">
      <c r="B23" s="54" t="s">
        <v>66</v>
      </c>
      <c r="C23" s="32"/>
    </row>
    <row r="24" spans="2:4" s="33" customFormat="1" x14ac:dyDescent="0.25">
      <c r="B24" s="59" t="s">
        <v>67</v>
      </c>
      <c r="C24" s="64" t="s">
        <v>68</v>
      </c>
      <c r="D24" s="65" t="s">
        <v>69</v>
      </c>
    </row>
    <row r="25" spans="2:4" x14ac:dyDescent="0.25">
      <c r="B25" s="60">
        <v>1</v>
      </c>
      <c r="C25" s="62" t="s">
        <v>63</v>
      </c>
      <c r="D25" s="57" t="s">
        <v>74</v>
      </c>
    </row>
    <row r="26" spans="2:4" x14ac:dyDescent="0.25">
      <c r="B26" s="60">
        <v>2</v>
      </c>
      <c r="C26" s="62" t="s">
        <v>64</v>
      </c>
      <c r="D26" s="57" t="s">
        <v>92</v>
      </c>
    </row>
    <row r="27" spans="2:4" x14ac:dyDescent="0.25">
      <c r="B27" s="60">
        <v>3</v>
      </c>
      <c r="C27" s="62" t="s">
        <v>90</v>
      </c>
      <c r="D27" s="57" t="s">
        <v>93</v>
      </c>
    </row>
    <row r="28" spans="2:4" x14ac:dyDescent="0.25">
      <c r="B28" s="60">
        <v>4</v>
      </c>
      <c r="C28" s="62" t="s">
        <v>91</v>
      </c>
      <c r="D28" s="57" t="s">
        <v>94</v>
      </c>
    </row>
    <row r="29" spans="2:4" ht="14.95" thickBot="1" x14ac:dyDescent="0.3">
      <c r="B29" s="61">
        <v>5</v>
      </c>
      <c r="C29" s="63" t="s">
        <v>65</v>
      </c>
      <c r="D29" s="58" t="s">
        <v>95</v>
      </c>
    </row>
    <row r="30" spans="2:4" x14ac:dyDescent="0.25">
      <c r="C30" s="55"/>
    </row>
    <row r="31" spans="2:4" x14ac:dyDescent="0.25">
      <c r="C31" s="55"/>
    </row>
    <row r="32" spans="2:4" x14ac:dyDescent="0.25">
      <c r="C32" s="55"/>
    </row>
    <row r="33" spans="3:3" x14ac:dyDescent="0.25">
      <c r="C33" s="55"/>
    </row>
  </sheetData>
  <sheetProtection algorithmName="SHA-512" hashValue="Y0jfN3GdJRReEX/tJsakA0OZiSMWQVTc0+9a0eyg7jdU8lyGlHntpu86z7rrRi3boIQoZzImx6YNpbF1q59x/Q==" saltValue="gpaQUcX/y28YrFrckbfilw==" spinCount="100000" sheet="1" objects="1" scenarios="1"/>
  <mergeCells count="5">
    <mergeCell ref="B8:D8"/>
    <mergeCell ref="B20:D20"/>
    <mergeCell ref="B10:D15"/>
    <mergeCell ref="B17:D17"/>
    <mergeCell ref="B19:D19"/>
  </mergeCells>
  <hyperlinks>
    <hyperlink ref="C25" location="'Fee Schedule'!A1" display="Fee Schedule " xr:uid="{00000000-0004-0000-0100-000000000000}"/>
    <hyperlink ref="C26" location="Introduction!A1" display="Introduction " xr:uid="{00000000-0004-0000-0100-000001000000}"/>
    <hyperlink ref="C27" location="Glossary!A1" display="Glossary" xr:uid="{00000000-0004-0000-0100-000002000000}"/>
    <hyperlink ref="C28" location="'Fee Methodology'!A1" display="Fee Methodology" xr:uid="{00000000-0004-0000-0100-000003000000}"/>
    <hyperlink ref="C29" location="Model!A1" display="Model" xr:uid="{00000000-0004-0000-0100-000005000000}"/>
  </hyperlinks>
  <pageMargins left="0.7" right="0.7" top="0.75" bottom="0.75" header="0.3" footer="0.3"/>
  <pageSetup scale="98" orientation="landscape" r:id="rId1"/>
  <headerFooter>
    <oddHeader>&amp;A</oddHeader>
    <oddFooter>Page &amp;P of &amp;N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P24"/>
  <sheetViews>
    <sheetView showGridLines="0" zoomScale="85" zoomScaleNormal="85" workbookViewId="0"/>
  </sheetViews>
  <sheetFormatPr defaultRowHeight="14.3" x14ac:dyDescent="0.25"/>
  <cols>
    <col min="1" max="1" width="3.375" style="33" customWidth="1"/>
  </cols>
  <sheetData>
    <row r="6" spans="2:16" ht="24.45" x14ac:dyDescent="0.35">
      <c r="B6" s="19" t="s">
        <v>57</v>
      </c>
    </row>
    <row r="7" spans="2:16" x14ac:dyDescent="0.25">
      <c r="B7" s="16"/>
    </row>
    <row r="8" spans="2:16" x14ac:dyDescent="0.25">
      <c r="B8" s="16"/>
      <c r="C8" s="33"/>
      <c r="D8" s="33"/>
      <c r="E8" s="33"/>
      <c r="F8" s="33"/>
      <c r="G8" s="33"/>
      <c r="H8" s="33"/>
      <c r="I8" s="33"/>
      <c r="J8" s="33"/>
      <c r="K8" s="33"/>
      <c r="L8" s="33"/>
      <c r="M8" s="33"/>
      <c r="N8" s="33"/>
      <c r="O8" s="33"/>
      <c r="P8" s="33"/>
    </row>
    <row r="9" spans="2:16" ht="14.95" customHeight="1" x14ac:dyDescent="0.25">
      <c r="B9" s="139" t="s">
        <v>96</v>
      </c>
      <c r="C9" s="140"/>
      <c r="D9" s="140"/>
      <c r="E9" s="140"/>
      <c r="F9" s="140"/>
      <c r="G9" s="140"/>
      <c r="H9" s="140"/>
      <c r="I9" s="140"/>
      <c r="J9" s="140"/>
      <c r="K9" s="140"/>
      <c r="L9" s="140"/>
      <c r="M9" s="140"/>
      <c r="N9" s="140"/>
      <c r="O9" s="140"/>
      <c r="P9" s="141"/>
    </row>
    <row r="10" spans="2:16" x14ac:dyDescent="0.25">
      <c r="B10" s="103"/>
      <c r="C10" s="105"/>
      <c r="D10" s="105"/>
      <c r="E10" s="105"/>
      <c r="F10" s="105"/>
      <c r="G10" s="105"/>
      <c r="H10" s="105"/>
      <c r="I10" s="105"/>
      <c r="J10" s="105"/>
      <c r="K10" s="105"/>
      <c r="L10" s="105"/>
      <c r="M10" s="105"/>
      <c r="N10" s="105"/>
      <c r="O10" s="105"/>
      <c r="P10" s="102"/>
    </row>
    <row r="11" spans="2:16" x14ac:dyDescent="0.25">
      <c r="B11" s="133" t="s">
        <v>97</v>
      </c>
      <c r="C11" s="142"/>
      <c r="D11" s="142"/>
      <c r="E11" s="142"/>
      <c r="F11" s="142"/>
      <c r="G11" s="142"/>
      <c r="H11" s="142"/>
      <c r="I11" s="142"/>
      <c r="J11" s="142"/>
      <c r="K11" s="142"/>
      <c r="L11" s="142"/>
      <c r="M11" s="142"/>
      <c r="N11" s="142"/>
      <c r="O11" s="142"/>
      <c r="P11" s="143"/>
    </row>
    <row r="12" spans="2:16" x14ac:dyDescent="0.25">
      <c r="B12" s="103"/>
      <c r="C12" s="108"/>
      <c r="D12" s="108"/>
      <c r="E12" s="108"/>
      <c r="F12" s="108"/>
      <c r="G12" s="108"/>
      <c r="H12" s="108"/>
      <c r="I12" s="108"/>
      <c r="J12" s="108"/>
      <c r="K12" s="108"/>
      <c r="L12" s="108"/>
      <c r="M12" s="108"/>
      <c r="N12" s="108"/>
      <c r="O12" s="108"/>
      <c r="P12" s="109"/>
    </row>
    <row r="13" spans="2:16" ht="14.3" customHeight="1" x14ac:dyDescent="0.25">
      <c r="B13" s="133" t="s">
        <v>98</v>
      </c>
      <c r="C13" s="134"/>
      <c r="D13" s="134"/>
      <c r="E13" s="134"/>
      <c r="F13" s="134"/>
      <c r="G13" s="134"/>
      <c r="H13" s="134"/>
      <c r="I13" s="134"/>
      <c r="J13" s="134"/>
      <c r="K13" s="134"/>
      <c r="L13" s="134"/>
      <c r="M13" s="134"/>
      <c r="N13" s="134"/>
      <c r="O13" s="134"/>
      <c r="P13" s="135"/>
    </row>
    <row r="14" spans="2:16" x14ac:dyDescent="0.25">
      <c r="B14" s="133"/>
      <c r="C14" s="134"/>
      <c r="D14" s="134"/>
      <c r="E14" s="134"/>
      <c r="F14" s="134"/>
      <c r="G14" s="134"/>
      <c r="H14" s="134"/>
      <c r="I14" s="134"/>
      <c r="J14" s="134"/>
      <c r="K14" s="134"/>
      <c r="L14" s="134"/>
      <c r="M14" s="134"/>
      <c r="N14" s="134"/>
      <c r="O14" s="134"/>
      <c r="P14" s="135"/>
    </row>
    <row r="15" spans="2:16" x14ac:dyDescent="0.25">
      <c r="B15" s="103"/>
      <c r="C15" s="110"/>
      <c r="D15" s="110"/>
      <c r="E15" s="110"/>
      <c r="F15" s="110"/>
      <c r="G15" s="110"/>
      <c r="H15" s="110"/>
      <c r="I15" s="110"/>
      <c r="J15" s="110"/>
      <c r="K15" s="110"/>
      <c r="L15" s="110"/>
      <c r="M15" s="110"/>
      <c r="N15" s="110"/>
      <c r="O15" s="110"/>
      <c r="P15" s="104"/>
    </row>
    <row r="16" spans="2:16" x14ac:dyDescent="0.25">
      <c r="B16" s="133" t="s">
        <v>99</v>
      </c>
      <c r="C16" s="134"/>
      <c r="D16" s="134"/>
      <c r="E16" s="134"/>
      <c r="F16" s="134"/>
      <c r="G16" s="134"/>
      <c r="H16" s="134"/>
      <c r="I16" s="134"/>
      <c r="J16" s="134"/>
      <c r="K16" s="134"/>
      <c r="L16" s="134"/>
      <c r="M16" s="134"/>
      <c r="N16" s="134"/>
      <c r="O16" s="134"/>
      <c r="P16" s="135"/>
    </row>
    <row r="17" spans="2:16" x14ac:dyDescent="0.25">
      <c r="B17" s="133"/>
      <c r="C17" s="134"/>
      <c r="D17" s="134"/>
      <c r="E17" s="134"/>
      <c r="F17" s="134"/>
      <c r="G17" s="134"/>
      <c r="H17" s="134"/>
      <c r="I17" s="134"/>
      <c r="J17" s="134"/>
      <c r="K17" s="134"/>
      <c r="L17" s="134"/>
      <c r="M17" s="134"/>
      <c r="N17" s="134"/>
      <c r="O17" s="134"/>
      <c r="P17" s="135"/>
    </row>
    <row r="18" spans="2:16" ht="14.3" customHeight="1" x14ac:dyDescent="0.25">
      <c r="B18" s="103"/>
      <c r="C18" s="108"/>
      <c r="D18" s="108"/>
      <c r="E18" s="108"/>
      <c r="F18" s="108"/>
      <c r="G18" s="108"/>
      <c r="H18" s="108"/>
      <c r="I18" s="108"/>
      <c r="J18" s="108"/>
      <c r="K18" s="108"/>
      <c r="L18" s="108"/>
      <c r="M18" s="108"/>
      <c r="N18" s="108"/>
      <c r="O18" s="108"/>
      <c r="P18" s="109"/>
    </row>
    <row r="19" spans="2:16" x14ac:dyDescent="0.25">
      <c r="B19" s="133" t="s">
        <v>100</v>
      </c>
      <c r="C19" s="134"/>
      <c r="D19" s="134"/>
      <c r="E19" s="134"/>
      <c r="F19" s="134"/>
      <c r="G19" s="134"/>
      <c r="H19" s="134"/>
      <c r="I19" s="134"/>
      <c r="J19" s="134"/>
      <c r="K19" s="134"/>
      <c r="L19" s="134"/>
      <c r="M19" s="134"/>
      <c r="N19" s="134"/>
      <c r="O19" s="134"/>
      <c r="P19" s="135"/>
    </row>
    <row r="20" spans="2:16" x14ac:dyDescent="0.25">
      <c r="B20" s="133"/>
      <c r="C20" s="134"/>
      <c r="D20" s="134"/>
      <c r="E20" s="134"/>
      <c r="F20" s="134"/>
      <c r="G20" s="134"/>
      <c r="H20" s="134"/>
      <c r="I20" s="134"/>
      <c r="J20" s="134"/>
      <c r="K20" s="134"/>
      <c r="L20" s="134"/>
      <c r="M20" s="134"/>
      <c r="N20" s="134"/>
      <c r="O20" s="134"/>
      <c r="P20" s="135"/>
    </row>
    <row r="21" spans="2:16" ht="14.95" customHeight="1" x14ac:dyDescent="0.25">
      <c r="B21" s="133"/>
      <c r="C21" s="134"/>
      <c r="D21" s="134"/>
      <c r="E21" s="134"/>
      <c r="F21" s="134"/>
      <c r="G21" s="134"/>
      <c r="H21" s="134"/>
      <c r="I21" s="134"/>
      <c r="J21" s="134"/>
      <c r="K21" s="134"/>
      <c r="L21" s="134"/>
      <c r="M21" s="134"/>
      <c r="N21" s="134"/>
      <c r="O21" s="134"/>
      <c r="P21" s="135"/>
    </row>
    <row r="22" spans="2:16" x14ac:dyDescent="0.25">
      <c r="B22" s="103"/>
      <c r="C22" s="110"/>
      <c r="D22" s="110"/>
      <c r="E22" s="110"/>
      <c r="F22" s="110"/>
      <c r="G22" s="110"/>
      <c r="H22" s="110"/>
      <c r="I22" s="110"/>
      <c r="J22" s="110"/>
      <c r="K22" s="110"/>
      <c r="L22" s="110"/>
      <c r="M22" s="110"/>
      <c r="N22" s="110"/>
      <c r="O22" s="110"/>
      <c r="P22" s="104"/>
    </row>
    <row r="23" spans="2:16" x14ac:dyDescent="0.25">
      <c r="B23" s="133" t="s">
        <v>101</v>
      </c>
      <c r="C23" s="134"/>
      <c r="D23" s="134"/>
      <c r="E23" s="134"/>
      <c r="F23" s="134"/>
      <c r="G23" s="134"/>
      <c r="H23" s="134"/>
      <c r="I23" s="134"/>
      <c r="J23" s="134"/>
      <c r="K23" s="134"/>
      <c r="L23" s="134"/>
      <c r="M23" s="134"/>
      <c r="N23" s="134"/>
      <c r="O23" s="134"/>
      <c r="P23" s="135"/>
    </row>
    <row r="24" spans="2:16" x14ac:dyDescent="0.25">
      <c r="B24" s="136"/>
      <c r="C24" s="137"/>
      <c r="D24" s="137"/>
      <c r="E24" s="137"/>
      <c r="F24" s="137"/>
      <c r="G24" s="137"/>
      <c r="H24" s="137"/>
      <c r="I24" s="137"/>
      <c r="J24" s="137"/>
      <c r="K24" s="137"/>
      <c r="L24" s="137"/>
      <c r="M24" s="137"/>
      <c r="N24" s="137"/>
      <c r="O24" s="137"/>
      <c r="P24" s="138"/>
    </row>
  </sheetData>
  <sheetProtection algorithmName="SHA-512" hashValue="1eFUotk6kP1BDp5XwfBGsiPShc8SldwQ1hBaFbSZLbqSjV2SCTmQNUEeO3UZWibFGkG8smJHn1iSc7KAiJKKcw==" saltValue="DbR7nZsAr8kZqC3yNyuPZA==" spinCount="100000" sheet="1" objects="1" scenarios="1"/>
  <mergeCells count="6">
    <mergeCell ref="B23:P24"/>
    <mergeCell ref="B9:P9"/>
    <mergeCell ref="B11:P11"/>
    <mergeCell ref="B13:P14"/>
    <mergeCell ref="B16:P17"/>
    <mergeCell ref="B19:P21"/>
  </mergeCells>
  <pageMargins left="0.7" right="0.7" top="0.75" bottom="0.75" header="0.3" footer="0.3"/>
  <pageSetup scale="64" orientation="portrait" horizontalDpi="200" verticalDpi="200" r:id="rId1"/>
  <headerFooter>
    <oddHeader>&amp;A</oddHeader>
    <oddFooter>Page &amp;P of &amp;N</odd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N52"/>
  <sheetViews>
    <sheetView showGridLines="0" zoomScale="85" zoomScaleNormal="85" workbookViewId="0"/>
  </sheetViews>
  <sheetFormatPr defaultRowHeight="14.3" x14ac:dyDescent="0.25"/>
  <cols>
    <col min="1" max="1" width="3.375" style="33" customWidth="1"/>
  </cols>
  <sheetData>
    <row r="6" spans="2:14" ht="24.45" x14ac:dyDescent="0.35">
      <c r="B6" s="19" t="s">
        <v>91</v>
      </c>
      <c r="C6" s="33"/>
      <c r="D6" s="33"/>
      <c r="E6" s="33"/>
      <c r="F6" s="33"/>
      <c r="G6" s="33"/>
      <c r="H6" s="33"/>
      <c r="I6" s="33"/>
      <c r="J6" s="33"/>
      <c r="K6" s="33"/>
      <c r="L6" s="33"/>
    </row>
    <row r="7" spans="2:14" s="33" customFormat="1" x14ac:dyDescent="0.25"/>
    <row r="8" spans="2:14" x14ac:dyDescent="0.25">
      <c r="B8" s="142" t="s">
        <v>105</v>
      </c>
      <c r="C8" s="142"/>
      <c r="D8" s="142"/>
      <c r="E8" s="142"/>
      <c r="F8" s="142"/>
      <c r="G8" s="142"/>
      <c r="H8" s="142"/>
      <c r="I8" s="142"/>
      <c r="J8" s="142"/>
      <c r="K8" s="142"/>
      <c r="L8" s="142"/>
    </row>
    <row r="9" spans="2:14" ht="14.3" customHeight="1" x14ac:dyDescent="0.25">
      <c r="B9" s="80"/>
      <c r="C9" s="80"/>
      <c r="D9" s="80"/>
      <c r="E9" s="80"/>
      <c r="F9" s="80"/>
      <c r="G9" s="80"/>
      <c r="H9" s="80"/>
      <c r="I9" s="80"/>
      <c r="J9" s="80"/>
      <c r="K9" s="80"/>
      <c r="L9" s="80"/>
      <c r="N9" s="33"/>
    </row>
    <row r="10" spans="2:14" x14ac:dyDescent="0.25">
      <c r="B10" s="80"/>
      <c r="C10" s="80"/>
      <c r="D10" s="80"/>
      <c r="E10" s="80"/>
      <c r="F10" s="80"/>
      <c r="G10" s="80"/>
      <c r="H10" s="80"/>
      <c r="I10" s="80"/>
      <c r="J10" s="80"/>
      <c r="K10" s="80"/>
      <c r="L10" s="80"/>
      <c r="M10" s="33"/>
      <c r="N10" s="33"/>
    </row>
    <row r="11" spans="2:14" x14ac:dyDescent="0.25">
      <c r="B11" s="80"/>
      <c r="C11" s="80"/>
      <c r="D11" s="80"/>
      <c r="E11" s="80"/>
      <c r="F11" s="80"/>
      <c r="G11" s="80"/>
      <c r="H11" s="80"/>
      <c r="I11" s="80"/>
      <c r="J11" s="80"/>
      <c r="K11" s="80"/>
      <c r="L11" s="80"/>
      <c r="M11" s="33"/>
      <c r="N11" s="33"/>
    </row>
    <row r="12" spans="2:14" x14ac:dyDescent="0.25">
      <c r="B12" s="80"/>
      <c r="C12" s="80"/>
      <c r="D12" s="80"/>
      <c r="E12" s="80"/>
      <c r="F12" s="80"/>
      <c r="G12" s="80"/>
      <c r="H12" s="80"/>
      <c r="I12" s="80"/>
      <c r="J12" s="80"/>
      <c r="K12" s="80"/>
      <c r="L12" s="80"/>
      <c r="M12" s="33"/>
      <c r="N12" s="33"/>
    </row>
    <row r="13" spans="2:14" x14ac:dyDescent="0.25">
      <c r="B13" s="80"/>
      <c r="C13" s="80"/>
      <c r="D13" s="80"/>
      <c r="E13" s="80"/>
      <c r="F13" s="80"/>
      <c r="G13" s="80"/>
      <c r="H13" s="80"/>
      <c r="I13" s="80"/>
      <c r="J13" s="80"/>
      <c r="K13" s="80"/>
      <c r="L13" s="80"/>
      <c r="M13" s="33"/>
      <c r="N13" s="33"/>
    </row>
    <row r="14" spans="2:14" x14ac:dyDescent="0.25">
      <c r="B14" s="80"/>
      <c r="C14" s="80"/>
      <c r="D14" s="80"/>
      <c r="E14" s="80"/>
      <c r="F14" s="80"/>
      <c r="G14" s="80"/>
      <c r="H14" s="80"/>
      <c r="I14" s="80"/>
      <c r="J14" s="80"/>
      <c r="K14" s="80"/>
      <c r="L14" s="80"/>
      <c r="M14" s="33"/>
      <c r="N14" s="33"/>
    </row>
    <row r="15" spans="2:14" x14ac:dyDescent="0.25">
      <c r="B15" s="80"/>
      <c r="C15" s="80"/>
      <c r="D15" s="80"/>
      <c r="E15" s="80"/>
      <c r="F15" s="80"/>
      <c r="G15" s="80"/>
      <c r="H15" s="80"/>
      <c r="I15" s="80"/>
      <c r="J15" s="80"/>
      <c r="K15" s="80"/>
      <c r="L15" s="80"/>
      <c r="M15" s="33"/>
      <c r="N15" s="33"/>
    </row>
    <row r="16" spans="2:14" x14ac:dyDescent="0.25">
      <c r="B16" s="80"/>
      <c r="C16" s="80"/>
      <c r="D16" s="80"/>
      <c r="E16" s="80"/>
      <c r="F16" s="80"/>
      <c r="G16" s="80"/>
      <c r="H16" s="80"/>
      <c r="I16" s="80"/>
      <c r="J16" s="80"/>
      <c r="K16" s="80"/>
      <c r="L16" s="80"/>
      <c r="M16" s="33"/>
      <c r="N16" s="33"/>
    </row>
    <row r="17" spans="2:14" x14ac:dyDescent="0.25">
      <c r="B17" s="80"/>
      <c r="C17" s="80"/>
      <c r="D17" s="80"/>
      <c r="E17" s="80"/>
      <c r="F17" s="80"/>
      <c r="G17" s="80"/>
      <c r="H17" s="80"/>
      <c r="I17" s="80"/>
      <c r="J17" s="80"/>
      <c r="K17" s="80"/>
      <c r="L17" s="80"/>
      <c r="M17" s="33"/>
      <c r="N17" s="33"/>
    </row>
    <row r="18" spans="2:14" x14ac:dyDescent="0.25">
      <c r="B18" s="80"/>
      <c r="C18" s="80"/>
      <c r="D18" s="80"/>
      <c r="E18" s="80"/>
      <c r="F18" s="80"/>
      <c r="G18" s="80"/>
      <c r="H18" s="80"/>
      <c r="I18" s="80"/>
      <c r="J18" s="80"/>
      <c r="K18" s="80"/>
      <c r="L18" s="80"/>
      <c r="M18" s="33"/>
      <c r="N18" s="33"/>
    </row>
    <row r="19" spans="2:14" x14ac:dyDescent="0.25">
      <c r="B19" s="80"/>
      <c r="C19" s="80"/>
      <c r="D19" s="80"/>
      <c r="E19" s="80"/>
      <c r="F19" s="80"/>
      <c r="G19" s="80"/>
      <c r="H19" s="80"/>
      <c r="I19" s="80"/>
      <c r="J19" s="80"/>
      <c r="K19" s="80"/>
      <c r="L19" s="80"/>
      <c r="M19" s="33"/>
      <c r="N19" s="33"/>
    </row>
    <row r="20" spans="2:14" x14ac:dyDescent="0.25">
      <c r="B20" s="80"/>
      <c r="C20" s="80"/>
      <c r="D20" s="80"/>
      <c r="E20" s="80"/>
      <c r="F20" s="80"/>
      <c r="G20" s="80"/>
      <c r="H20" s="80"/>
      <c r="I20" s="80"/>
      <c r="J20" s="80"/>
      <c r="K20" s="80"/>
      <c r="L20" s="80"/>
      <c r="M20" s="33"/>
      <c r="N20" s="33"/>
    </row>
    <row r="21" spans="2:14" x14ac:dyDescent="0.25">
      <c r="B21" s="80"/>
      <c r="C21" s="80"/>
      <c r="D21" s="80"/>
      <c r="E21" s="80"/>
      <c r="F21" s="80"/>
      <c r="G21" s="80"/>
      <c r="H21" s="80"/>
      <c r="I21" s="80"/>
      <c r="J21" s="80"/>
      <c r="K21" s="80"/>
      <c r="L21" s="80"/>
      <c r="M21" s="33"/>
      <c r="N21" s="33"/>
    </row>
    <row r="22" spans="2:14" x14ac:dyDescent="0.25">
      <c r="B22" s="80"/>
      <c r="C22" s="80"/>
      <c r="D22" s="80"/>
      <c r="E22" s="80"/>
      <c r="F22" s="80"/>
      <c r="G22" s="80"/>
      <c r="H22" s="80"/>
      <c r="I22" s="80"/>
      <c r="J22" s="80"/>
      <c r="K22" s="80"/>
      <c r="L22" s="80"/>
      <c r="M22" s="33"/>
      <c r="N22" s="33"/>
    </row>
    <row r="23" spans="2:14" x14ac:dyDescent="0.25">
      <c r="B23" s="80"/>
      <c r="C23" s="80"/>
      <c r="D23" s="80"/>
      <c r="E23" s="80"/>
      <c r="F23" s="80"/>
      <c r="G23" s="80"/>
      <c r="H23" s="80"/>
      <c r="I23" s="80"/>
      <c r="J23" s="80"/>
      <c r="K23" s="80"/>
      <c r="L23" s="80"/>
      <c r="M23" s="33"/>
      <c r="N23" s="33"/>
    </row>
    <row r="24" spans="2:14" x14ac:dyDescent="0.25">
      <c r="B24" s="80"/>
      <c r="C24" s="80"/>
      <c r="D24" s="80"/>
      <c r="E24" s="80"/>
      <c r="F24" s="80"/>
      <c r="G24" s="80"/>
      <c r="H24" s="80"/>
      <c r="I24" s="80"/>
      <c r="J24" s="80"/>
      <c r="K24" s="80"/>
      <c r="L24" s="80"/>
      <c r="M24" s="33"/>
      <c r="N24" s="33"/>
    </row>
    <row r="25" spans="2:14" x14ac:dyDescent="0.25">
      <c r="B25" s="80"/>
      <c r="C25" s="80"/>
      <c r="D25" s="80"/>
      <c r="E25" s="80"/>
      <c r="F25" s="80"/>
      <c r="G25" s="80"/>
      <c r="H25" s="80"/>
      <c r="I25" s="80"/>
      <c r="J25" s="80"/>
      <c r="K25" s="80"/>
      <c r="L25" s="80"/>
      <c r="M25" s="33"/>
      <c r="N25" s="33"/>
    </row>
    <row r="26" spans="2:14" x14ac:dyDescent="0.25">
      <c r="B26" s="80"/>
      <c r="C26" s="80"/>
      <c r="D26" s="80"/>
      <c r="E26" s="80"/>
      <c r="F26" s="80"/>
      <c r="G26" s="80"/>
      <c r="H26" s="80"/>
      <c r="I26" s="80"/>
      <c r="J26" s="80"/>
      <c r="K26" s="80"/>
      <c r="L26" s="80"/>
      <c r="M26" s="33"/>
      <c r="N26" s="33"/>
    </row>
    <row r="27" spans="2:14" x14ac:dyDescent="0.25">
      <c r="B27" s="80"/>
      <c r="C27" s="80"/>
      <c r="D27" s="80"/>
      <c r="E27" s="80"/>
      <c r="F27" s="80"/>
      <c r="G27" s="80"/>
      <c r="H27" s="80"/>
      <c r="I27" s="80"/>
      <c r="J27" s="80"/>
      <c r="K27" s="80"/>
      <c r="L27" s="80"/>
      <c r="M27" s="33"/>
      <c r="N27" s="33"/>
    </row>
    <row r="28" spans="2:14" x14ac:dyDescent="0.25">
      <c r="B28" s="80"/>
      <c r="C28" s="80"/>
      <c r="D28" s="80"/>
      <c r="E28" s="80"/>
      <c r="F28" s="80"/>
      <c r="G28" s="80"/>
      <c r="H28" s="80"/>
      <c r="I28" s="80"/>
      <c r="J28" s="80"/>
      <c r="K28" s="80"/>
      <c r="L28" s="80"/>
      <c r="M28" s="33"/>
      <c r="N28" s="33"/>
    </row>
    <row r="29" spans="2:14" x14ac:dyDescent="0.25">
      <c r="B29" s="80"/>
      <c r="C29" s="80"/>
      <c r="D29" s="80"/>
      <c r="E29" s="80"/>
      <c r="F29" s="80"/>
      <c r="G29" s="80"/>
      <c r="H29" s="80"/>
      <c r="I29" s="80"/>
      <c r="J29" s="80"/>
      <c r="K29" s="80"/>
      <c r="L29" s="80"/>
      <c r="M29" s="33"/>
      <c r="N29" s="33"/>
    </row>
    <row r="30" spans="2:14" x14ac:dyDescent="0.25">
      <c r="B30" s="80"/>
      <c r="C30" s="80"/>
      <c r="D30" s="80"/>
      <c r="E30" s="80"/>
      <c r="F30" s="80"/>
      <c r="G30" s="80"/>
      <c r="H30" s="80"/>
      <c r="I30" s="80"/>
      <c r="J30" s="80"/>
      <c r="K30" s="80"/>
      <c r="L30" s="80"/>
      <c r="M30" s="33"/>
      <c r="N30" s="33"/>
    </row>
    <row r="31" spans="2:14" s="33" customFormat="1" x14ac:dyDescent="0.25">
      <c r="B31" s="80"/>
      <c r="C31" s="80"/>
      <c r="D31" s="80"/>
      <c r="E31" s="80"/>
      <c r="F31" s="80"/>
      <c r="G31" s="80"/>
      <c r="H31" s="80"/>
      <c r="I31" s="80"/>
      <c r="J31" s="80"/>
      <c r="K31" s="80"/>
      <c r="L31" s="80"/>
    </row>
    <row r="32" spans="2:14" s="33" customFormat="1" x14ac:dyDescent="0.25">
      <c r="B32" s="80"/>
      <c r="C32" s="80"/>
      <c r="D32" s="80"/>
      <c r="E32" s="80"/>
      <c r="F32" s="80"/>
      <c r="G32" s="80"/>
      <c r="H32" s="80"/>
      <c r="I32" s="80"/>
      <c r="J32" s="80"/>
      <c r="K32" s="80"/>
      <c r="L32" s="80"/>
    </row>
    <row r="33" spans="2:14" s="33" customFormat="1" x14ac:dyDescent="0.25">
      <c r="B33" s="80"/>
      <c r="C33" s="80"/>
      <c r="D33" s="80"/>
      <c r="E33" s="80"/>
      <c r="F33" s="80"/>
      <c r="G33" s="80"/>
      <c r="H33" s="80"/>
      <c r="I33" s="80"/>
      <c r="J33" s="80"/>
      <c r="K33" s="80"/>
      <c r="L33" s="80"/>
    </row>
    <row r="34" spans="2:14" s="33" customFormat="1" x14ac:dyDescent="0.25">
      <c r="B34" s="80"/>
      <c r="C34" s="80"/>
      <c r="D34" s="80"/>
      <c r="E34" s="80"/>
      <c r="F34" s="80"/>
      <c r="G34" s="80"/>
      <c r="H34" s="80"/>
      <c r="I34" s="80"/>
      <c r="J34" s="80"/>
      <c r="K34" s="80"/>
      <c r="L34" s="80"/>
    </row>
    <row r="35" spans="2:14" x14ac:dyDescent="0.25">
      <c r="B35" s="80"/>
      <c r="C35" s="80"/>
      <c r="D35" s="80"/>
      <c r="E35" s="80"/>
      <c r="F35" s="80"/>
      <c r="G35" s="80"/>
      <c r="H35" s="80"/>
      <c r="I35" s="80"/>
      <c r="J35" s="80"/>
      <c r="K35" s="80"/>
      <c r="L35" s="80"/>
      <c r="M35" s="33"/>
      <c r="N35" s="33"/>
    </row>
    <row r="36" spans="2:14" x14ac:dyDescent="0.25">
      <c r="B36" s="80"/>
      <c r="C36" s="80"/>
      <c r="D36" s="80"/>
      <c r="E36" s="80"/>
      <c r="F36" s="80"/>
      <c r="G36" s="80"/>
      <c r="H36" s="80"/>
      <c r="I36" s="80"/>
      <c r="J36" s="80"/>
      <c r="K36" s="80"/>
      <c r="L36" s="80"/>
      <c r="M36" s="33"/>
      <c r="N36" s="33"/>
    </row>
    <row r="37" spans="2:14" x14ac:dyDescent="0.25">
      <c r="B37" s="80"/>
      <c r="C37" s="80"/>
      <c r="D37" s="80"/>
      <c r="E37" s="80"/>
      <c r="F37" s="80"/>
      <c r="G37" s="80"/>
      <c r="H37" s="80"/>
      <c r="I37" s="80"/>
      <c r="J37" s="80"/>
      <c r="K37" s="80"/>
      <c r="L37" s="80"/>
      <c r="M37" s="33"/>
      <c r="N37" s="33"/>
    </row>
    <row r="38" spans="2:14" x14ac:dyDescent="0.25">
      <c r="B38" s="80"/>
      <c r="C38" s="80"/>
      <c r="D38" s="80"/>
      <c r="E38" s="80"/>
      <c r="F38" s="80"/>
      <c r="G38" s="80"/>
      <c r="H38" s="80"/>
      <c r="I38" s="80"/>
      <c r="J38" s="80"/>
      <c r="K38" s="80"/>
      <c r="L38" s="80"/>
      <c r="M38" s="33"/>
      <c r="N38" s="33"/>
    </row>
    <row r="39" spans="2:14" x14ac:dyDescent="0.25">
      <c r="B39" s="80"/>
      <c r="C39" s="80"/>
      <c r="D39" s="80"/>
      <c r="E39" s="80"/>
      <c r="F39" s="80"/>
      <c r="G39" s="80"/>
      <c r="H39" s="80"/>
      <c r="I39" s="80"/>
      <c r="J39" s="80"/>
      <c r="K39" s="80"/>
      <c r="L39" s="80"/>
      <c r="M39" s="33"/>
      <c r="N39" s="33"/>
    </row>
    <row r="40" spans="2:14" x14ac:dyDescent="0.25">
      <c r="B40" s="80"/>
      <c r="C40" s="80"/>
      <c r="D40" s="80"/>
      <c r="E40" s="80"/>
      <c r="F40" s="80"/>
      <c r="G40" s="80"/>
      <c r="H40" s="80"/>
      <c r="I40" s="80"/>
      <c r="J40" s="80"/>
      <c r="K40" s="80"/>
      <c r="L40" s="80"/>
      <c r="M40" s="33"/>
      <c r="N40" s="33"/>
    </row>
    <row r="41" spans="2:14" s="33" customFormat="1" x14ac:dyDescent="0.25"/>
    <row r="42" spans="2:14" s="33" customFormat="1" x14ac:dyDescent="0.25"/>
    <row r="43" spans="2:14" x14ac:dyDescent="0.25">
      <c r="M43" s="33"/>
      <c r="N43" s="33"/>
    </row>
    <row r="44" spans="2:14" s="33" customFormat="1" x14ac:dyDescent="0.25"/>
    <row r="45" spans="2:14" x14ac:dyDescent="0.25">
      <c r="M45" s="33"/>
      <c r="N45" s="33"/>
    </row>
    <row r="46" spans="2:14" x14ac:dyDescent="0.25">
      <c r="M46" s="33"/>
      <c r="N46" s="33"/>
    </row>
    <row r="47" spans="2:14" x14ac:dyDescent="0.25">
      <c r="M47" s="33"/>
      <c r="N47" s="33"/>
    </row>
    <row r="48" spans="2:14" s="33" customFormat="1" x14ac:dyDescent="0.25"/>
    <row r="49" spans="2:14" x14ac:dyDescent="0.25">
      <c r="B49" s="16"/>
      <c r="M49" s="33"/>
      <c r="N49" s="33"/>
    </row>
    <row r="50" spans="2:14" x14ac:dyDescent="0.25">
      <c r="M50" s="33"/>
      <c r="N50" s="33"/>
    </row>
    <row r="51" spans="2:14" x14ac:dyDescent="0.25">
      <c r="M51" s="33"/>
      <c r="N51" s="33"/>
    </row>
    <row r="52" spans="2:14" x14ac:dyDescent="0.25">
      <c r="M52" s="33"/>
      <c r="N52" s="33"/>
    </row>
  </sheetData>
  <sheetProtection algorithmName="SHA-512" hashValue="p2EVMYxooUFWwpQCSbSCxjafX7k+MjidCSxGhQRZfDb5kxIzrbuHWaQwjU+5bOnDkyi1J/D4DiwqgER39ha97A==" saltValue="RkYvDHV1kpNeCq26PzVIvw==" spinCount="100000" sheet="1" objects="1" scenarios="1"/>
  <mergeCells count="1">
    <mergeCell ref="B8:L8"/>
  </mergeCells>
  <pageMargins left="0.7" right="0.7" top="0.75" bottom="0.75" header="0.3" footer="0.3"/>
  <pageSetup scale="68" orientation="portrait" r:id="rId1"/>
  <headerFooter>
    <oddHeader>&amp;A</oddHeader>
    <oddFooter>Page &amp;P of &amp;N</odd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2:AM43"/>
  <sheetViews>
    <sheetView showGridLines="0" zoomScale="85" zoomScaleNormal="85" workbookViewId="0">
      <pane xSplit="6" ySplit="15" topLeftCell="G16" activePane="bottomRight" state="frozen"/>
      <selection activeCell="H35" sqref="H35"/>
      <selection pane="topRight" activeCell="H35" sqref="H35"/>
      <selection pane="bottomLeft" activeCell="H35" sqref="H35"/>
      <selection pane="bottomRight"/>
    </sheetView>
  </sheetViews>
  <sheetFormatPr defaultRowHeight="14.3" x14ac:dyDescent="0.25"/>
  <cols>
    <col min="1" max="1" width="3.375" style="33" customWidth="1"/>
    <col min="2" max="2" width="18.25" customWidth="1"/>
    <col min="3" max="3" width="32.125" bestFit="1" customWidth="1"/>
    <col min="4" max="6" width="18" customWidth="1"/>
    <col min="7" max="7" width="3.375" style="33" customWidth="1"/>
    <col min="8" max="9" width="15" customWidth="1"/>
    <col min="10" max="10" width="3.375" style="33" customWidth="1"/>
    <col min="11" max="11" width="15" customWidth="1"/>
    <col min="12" max="12" width="3.375" style="33" customWidth="1"/>
    <col min="13" max="16" width="15" customWidth="1"/>
    <col min="17" max="17" width="3.375" style="33" customWidth="1"/>
    <col min="18" max="18" width="15" customWidth="1"/>
    <col min="19" max="19" width="3.375" style="33" customWidth="1"/>
    <col min="20" max="20" width="15" customWidth="1"/>
    <col min="21" max="21" width="3.375" style="33" customWidth="1"/>
    <col min="22" max="31" width="15" customWidth="1"/>
    <col min="32" max="32" width="5" style="80" customWidth="1"/>
    <col min="33" max="33" width="13.625" style="80" customWidth="1"/>
    <col min="34" max="34" width="5" style="80" customWidth="1"/>
    <col min="35" max="36" width="13.625" style="80" customWidth="1"/>
    <col min="37" max="37" width="9.375" style="80" customWidth="1"/>
    <col min="38" max="39" width="11.25" style="80" customWidth="1"/>
  </cols>
  <sheetData>
    <row r="2" spans="1:39" x14ac:dyDescent="0.25">
      <c r="B2" s="32"/>
    </row>
    <row r="5" spans="1:39" s="33" customFormat="1" x14ac:dyDescent="0.25">
      <c r="AF5" s="80"/>
      <c r="AG5" s="80"/>
      <c r="AH5" s="80"/>
      <c r="AI5" s="80"/>
      <c r="AJ5" s="80"/>
      <c r="AK5" s="80"/>
      <c r="AL5" s="80"/>
      <c r="AM5" s="80"/>
    </row>
    <row r="6" spans="1:39" ht="24.45" x14ac:dyDescent="0.35">
      <c r="B6" s="19" t="s">
        <v>104</v>
      </c>
      <c r="C6" s="23"/>
      <c r="F6" s="73"/>
    </row>
    <row r="7" spans="1:39" ht="14.95" thickBot="1" x14ac:dyDescent="0.3">
      <c r="B7" s="20"/>
      <c r="F7" s="78"/>
    </row>
    <row r="8" spans="1:39" ht="28.55" x14ac:dyDescent="0.25">
      <c r="B8" s="68" t="s">
        <v>77</v>
      </c>
      <c r="C8" s="43">
        <v>207616610.9004485</v>
      </c>
      <c r="D8" s="46"/>
      <c r="E8" s="68" t="s">
        <v>53</v>
      </c>
      <c r="F8" s="69">
        <f>+C12</f>
        <v>170559919.34025404</v>
      </c>
      <c r="H8" s="46"/>
    </row>
    <row r="9" spans="1:39" ht="28.55" x14ac:dyDescent="0.25">
      <c r="B9" s="48" t="s">
        <v>58</v>
      </c>
      <c r="C9" s="49">
        <v>124569966.54026909</v>
      </c>
      <c r="D9" s="46"/>
      <c r="E9" s="67" t="s">
        <v>60</v>
      </c>
      <c r="F9" s="42">
        <v>8732635</v>
      </c>
      <c r="H9" s="46"/>
    </row>
    <row r="10" spans="1:39" ht="28.55" x14ac:dyDescent="0.25">
      <c r="B10" s="48" t="s">
        <v>59</v>
      </c>
      <c r="C10" s="49">
        <v>83046644.360179409</v>
      </c>
      <c r="D10" s="46"/>
      <c r="E10" s="67" t="s">
        <v>76</v>
      </c>
      <c r="F10" s="42">
        <v>0</v>
      </c>
      <c r="H10" s="46"/>
      <c r="AI10" s="79"/>
    </row>
    <row r="11" spans="1:39" ht="14.95" thickBot="1" x14ac:dyDescent="0.3">
      <c r="B11" s="56" t="s">
        <v>78</v>
      </c>
      <c r="C11" s="44">
        <v>37056691.560194455</v>
      </c>
      <c r="D11" s="46"/>
      <c r="E11" s="66" t="s">
        <v>54</v>
      </c>
      <c r="F11" s="47">
        <f>+SUM(F8:F10)</f>
        <v>179292554.34025404</v>
      </c>
      <c r="H11" s="46"/>
      <c r="O11" s="14"/>
      <c r="P11" s="14"/>
      <c r="V11" s="75"/>
      <c r="W11" s="75"/>
    </row>
    <row r="12" spans="1:39" ht="57.75" thickBot="1" x14ac:dyDescent="0.3">
      <c r="B12" s="66" t="s">
        <v>79</v>
      </c>
      <c r="C12" s="45">
        <f>+C8-C11</f>
        <v>170559919.34025404</v>
      </c>
      <c r="D12" s="115"/>
      <c r="E12" s="46"/>
      <c r="F12" s="76"/>
      <c r="H12" s="46"/>
      <c r="O12" s="14"/>
      <c r="P12" s="14"/>
      <c r="R12" s="96"/>
      <c r="T12" s="80"/>
      <c r="V12" s="75"/>
      <c r="W12" s="75"/>
      <c r="AG12" s="98" t="s">
        <v>84</v>
      </c>
      <c r="AI12" s="28" t="s">
        <v>62</v>
      </c>
      <c r="AJ12" s="28" t="s">
        <v>61</v>
      </c>
    </row>
    <row r="13" spans="1:39" x14ac:dyDescent="0.25">
      <c r="C13" s="74"/>
      <c r="O13" s="14"/>
      <c r="T13" s="80"/>
      <c r="V13" s="75"/>
      <c r="W13" s="75"/>
      <c r="X13" s="1"/>
      <c r="AG13" s="99">
        <v>-5.5627510243903222E-2</v>
      </c>
      <c r="AI13" s="106">
        <f>+P16/V16*AI16</f>
        <v>8.3721684171128459</v>
      </c>
      <c r="AJ13" s="34">
        <f>+AI13*AL16*10</f>
        <v>2840377.9412355814</v>
      </c>
    </row>
    <row r="14" spans="1:39" s="46" customFormat="1" x14ac:dyDescent="0.25">
      <c r="D14" s="82" t="s">
        <v>51</v>
      </c>
      <c r="E14" s="82"/>
      <c r="F14" s="82"/>
      <c r="H14" s="83" t="s">
        <v>55</v>
      </c>
      <c r="I14" s="83"/>
      <c r="K14" s="83" t="s">
        <v>49</v>
      </c>
      <c r="M14" s="82" t="s">
        <v>56</v>
      </c>
      <c r="N14" s="82"/>
      <c r="O14" s="82"/>
      <c r="P14" s="82"/>
      <c r="R14" s="83" t="s">
        <v>44</v>
      </c>
      <c r="T14" s="83" t="s">
        <v>40</v>
      </c>
      <c r="V14" s="82" t="s">
        <v>35</v>
      </c>
      <c r="W14" s="82"/>
      <c r="X14" s="82"/>
      <c r="Y14" s="82"/>
      <c r="Z14" s="82"/>
      <c r="AA14" s="82"/>
      <c r="AB14" s="82"/>
      <c r="AC14" s="82"/>
      <c r="AD14" s="82"/>
      <c r="AE14" s="82"/>
      <c r="AG14" s="82"/>
      <c r="AI14" s="82"/>
      <c r="AJ14" s="82"/>
    </row>
    <row r="15" spans="1:39" s="4" customFormat="1" ht="71.349999999999994" x14ac:dyDescent="0.25">
      <c r="A15" s="33"/>
      <c r="B15" s="36" t="s">
        <v>6</v>
      </c>
      <c r="C15" s="22" t="s">
        <v>7</v>
      </c>
      <c r="D15" s="3" t="s">
        <v>70</v>
      </c>
      <c r="E15" s="3" t="s">
        <v>71</v>
      </c>
      <c r="F15" s="3" t="s">
        <v>75</v>
      </c>
      <c r="G15" s="33"/>
      <c r="H15" s="3" t="s">
        <v>72</v>
      </c>
      <c r="I15" s="3" t="s">
        <v>73</v>
      </c>
      <c r="J15" s="33"/>
      <c r="K15" s="2" t="s">
        <v>43</v>
      </c>
      <c r="L15" s="33"/>
      <c r="M15" s="3" t="s">
        <v>36</v>
      </c>
      <c r="N15" s="3" t="s">
        <v>37</v>
      </c>
      <c r="O15" s="3" t="s">
        <v>38</v>
      </c>
      <c r="P15" s="24" t="s">
        <v>42</v>
      </c>
      <c r="Q15" s="33"/>
      <c r="R15" s="2" t="s">
        <v>39</v>
      </c>
      <c r="S15" s="33"/>
      <c r="T15" s="2" t="s">
        <v>41</v>
      </c>
      <c r="U15" s="33"/>
      <c r="V15" s="2" t="s">
        <v>81</v>
      </c>
      <c r="W15" s="2" t="s">
        <v>82</v>
      </c>
      <c r="X15" s="18" t="s">
        <v>8</v>
      </c>
      <c r="Y15" s="18" t="s">
        <v>9</v>
      </c>
      <c r="Z15" s="18" t="s">
        <v>45</v>
      </c>
      <c r="AA15" s="18" t="s">
        <v>46</v>
      </c>
      <c r="AB15" s="2" t="s">
        <v>48</v>
      </c>
      <c r="AC15" s="2" t="s">
        <v>47</v>
      </c>
      <c r="AD15" s="28" t="s">
        <v>61</v>
      </c>
      <c r="AE15" s="28" t="s">
        <v>62</v>
      </c>
      <c r="AG15" s="2" t="s">
        <v>80</v>
      </c>
      <c r="AI15" s="2" t="s">
        <v>83</v>
      </c>
      <c r="AJ15" s="2" t="s">
        <v>103</v>
      </c>
      <c r="AL15" s="111" t="s">
        <v>102</v>
      </c>
      <c r="AM15" s="111" t="s">
        <v>10</v>
      </c>
    </row>
    <row r="16" spans="1:39" x14ac:dyDescent="0.25">
      <c r="B16" s="38" t="s">
        <v>0</v>
      </c>
      <c r="C16" s="35" t="str">
        <f>+'Fee Schedule'!C9</f>
        <v>Newsprint - CNA/OCNA</v>
      </c>
      <c r="D16" s="50">
        <v>1.1417651185919933E-2</v>
      </c>
      <c r="E16" s="50">
        <v>2.6075548062258456E-2</v>
      </c>
      <c r="F16" s="50">
        <v>1.5656731175605936E-2</v>
      </c>
      <c r="H16" s="11">
        <f>+D16*$C$9</f>
        <v>1422296.4261985098</v>
      </c>
      <c r="I16" s="11">
        <f>E16*$C$10</f>
        <v>2165486.7664231434</v>
      </c>
      <c r="K16" s="11">
        <f>F16*$C$11</f>
        <v>580186.65801530995</v>
      </c>
      <c r="M16" s="12">
        <f t="shared" ref="M16" si="0">+SUM(H16:I16)</f>
        <v>3587783.192621653</v>
      </c>
      <c r="N16" s="12">
        <f>+K16</f>
        <v>580186.65801530995</v>
      </c>
      <c r="O16" s="12">
        <f>+M16-N16</f>
        <v>3007596.5346063431</v>
      </c>
      <c r="P16" s="25">
        <f>O16</f>
        <v>3007596.5346063431</v>
      </c>
      <c r="R16" s="5">
        <v>303522.27619075269</v>
      </c>
      <c r="T16" s="31"/>
      <c r="V16" s="9">
        <f t="shared" ref="V16:V38" si="1">+P16+R16</f>
        <v>3311118.8107970958</v>
      </c>
      <c r="W16" s="6">
        <f>+V16/AL16/10</f>
        <v>9.7597027249848232</v>
      </c>
      <c r="X16" s="52">
        <v>1</v>
      </c>
      <c r="Y16" s="53">
        <v>0</v>
      </c>
      <c r="Z16" s="52"/>
      <c r="AA16" s="53"/>
      <c r="AB16" s="15">
        <f>+AC16*AL16*10</f>
        <v>3311219.6655999999</v>
      </c>
      <c r="AC16" s="27">
        <f>ROUNDUP(SUMIF(X$16:X$38,X16,V$16:V$38)/SUMIF(X$16:X$38,X16,$AL$16:$AL$38)/10*Y16+IF(Z16="",(1-Y16)*(V16/$AL16/10),((1-Y16)*AA16)*(SUMIF(Z$16:Z$38,Z16,V$16:V$38)/SUMIF(Z$16:Z$38,Z16,$AL$16:$AL$38)/10)+(((1-Y16)*(1-AA16))*(V16/$AL16/10))),2)+ROUNDUP(T16/AL16/10,2)</f>
        <v>9.76</v>
      </c>
      <c r="AD16" s="13">
        <f>+AE16*AL16*10</f>
        <v>3007688.1442926894</v>
      </c>
      <c r="AE16" s="29">
        <f>+P16/V16*AC16</f>
        <v>8.8653243375133961</v>
      </c>
      <c r="AF16" s="79"/>
      <c r="AG16" s="85">
        <f t="shared" ref="AG16:AG38" si="2">+$AG$13*AB16</f>
        <v>-184194.9058679778</v>
      </c>
      <c r="AH16" s="79"/>
      <c r="AI16" s="29">
        <f t="shared" ref="AI16:AI38" si="3">+AJ16/AL16/10</f>
        <v>9.2170755000195044</v>
      </c>
      <c r="AJ16" s="85">
        <f t="shared" ref="AJ16:AJ38" si="4">+AB16+AG16</f>
        <v>3127024.759732022</v>
      </c>
      <c r="AK16" s="79"/>
      <c r="AL16" s="112">
        <v>33926.430999999997</v>
      </c>
      <c r="AM16" s="17">
        <v>0.89619035177128914</v>
      </c>
    </row>
    <row r="17" spans="2:39" x14ac:dyDescent="0.25">
      <c r="B17" s="39" t="s">
        <v>0</v>
      </c>
      <c r="C17" s="35" t="str">
        <f>+'Fee Schedule'!C10</f>
        <v>Newsprint - Non-CNA/OCNA</v>
      </c>
      <c r="D17" s="50">
        <v>2.2090952722380052E-2</v>
      </c>
      <c r="E17" s="50">
        <v>5.0451155852777846E-2</v>
      </c>
      <c r="F17" s="50">
        <v>3.0292754836813422E-2</v>
      </c>
      <c r="H17" s="11">
        <f t="shared" ref="H17:H38" si="5">+D17*$C$9</f>
        <v>2751869.2414695495</v>
      </c>
      <c r="I17" s="11">
        <f t="shared" ref="I17:I38" si="6">E17*$C$10</f>
        <v>4189799.1976656257</v>
      </c>
      <c r="K17" s="11">
        <f t="shared" ref="K17:K38" si="7">F17*$C$11</f>
        <v>1122549.2724963836</v>
      </c>
      <c r="M17" s="12">
        <f t="shared" ref="M17:M38" si="8">+SUM(H17:I17)</f>
        <v>6941668.4391351752</v>
      </c>
      <c r="N17" s="12">
        <f t="shared" ref="N17:N38" si="9">+K17</f>
        <v>1122549.2724963836</v>
      </c>
      <c r="O17" s="12">
        <f t="shared" ref="O17:O38" si="10">+M17-N17</f>
        <v>5819119.1666387916</v>
      </c>
      <c r="P17" s="25">
        <f t="shared" ref="P17:P38" si="11">O17</f>
        <v>5819119.1666387916</v>
      </c>
      <c r="R17" s="5">
        <v>587257.05877122236</v>
      </c>
      <c r="T17" s="31"/>
      <c r="V17" s="9">
        <f t="shared" si="1"/>
        <v>6406376.2254100144</v>
      </c>
      <c r="W17" s="6">
        <f t="shared" ref="W17:W38" si="12">+V17/AL17/10</f>
        <v>9.7597027249848249</v>
      </c>
      <c r="X17" s="52">
        <v>1</v>
      </c>
      <c r="Y17" s="53">
        <v>0</v>
      </c>
      <c r="Z17" s="52"/>
      <c r="AA17" s="53"/>
      <c r="AB17" s="15">
        <f t="shared" ref="AB17:AB38" si="13">+AC17*AL17*10</f>
        <v>6406571.3600000003</v>
      </c>
      <c r="AC17" s="27">
        <f t="shared" ref="AC17:AC38" si="14">ROUNDUP(SUMIF(X$16:X$38,X17,V$16:V$38)/SUMIF(X$16:X$38,X17,$AL$16:$AL$38)/10*Y17+IF(Z17="",(1-Y17)*(V17/$AL17/10),((1-Y17)*AA17)*(SUMIF(Z$16:Z$38,Z17,V$16:V$38)/SUMIF(Z$16:Z$38,Z17,$AL$16:$AL$38)/10)+(((1-Y17)*(1-AA17))*(V17/$AL17/10))),2)+ROUNDUP(T17/AL17/10,2)</f>
        <v>9.76</v>
      </c>
      <c r="AD17" s="21"/>
      <c r="AE17" s="21"/>
      <c r="AG17" s="85">
        <f t="shared" si="2"/>
        <v>-356381.61395669699</v>
      </c>
      <c r="AH17" s="79"/>
      <c r="AI17" s="29">
        <f t="shared" si="3"/>
        <v>9.2170755000195044</v>
      </c>
      <c r="AJ17" s="85">
        <f t="shared" si="4"/>
        <v>6050189.7460433031</v>
      </c>
      <c r="AL17" s="112">
        <v>65641.100000000006</v>
      </c>
      <c r="AM17" s="17">
        <v>0.89619035177128914</v>
      </c>
    </row>
    <row r="18" spans="2:39" x14ac:dyDescent="0.25">
      <c r="B18" s="39" t="s">
        <v>0</v>
      </c>
      <c r="C18" s="35" t="str">
        <f>+'Fee Schedule'!C11</f>
        <v>Magazines and Catalogues</v>
      </c>
      <c r="D18" s="50">
        <v>4.7507902722363085E-3</v>
      </c>
      <c r="E18" s="50">
        <v>1.0425754934800425E-2</v>
      </c>
      <c r="F18" s="50">
        <v>5.5125707890115606E-3</v>
      </c>
      <c r="H18" s="11">
        <f t="shared" si="5"/>
        <v>591805.7852523129</v>
      </c>
      <c r="I18" s="11">
        <f t="shared" si="6"/>
        <v>865823.96225675638</v>
      </c>
      <c r="K18" s="11">
        <f t="shared" si="7"/>
        <v>204277.63543213918</v>
      </c>
      <c r="M18" s="12">
        <f t="shared" si="8"/>
        <v>1457629.7475090693</v>
      </c>
      <c r="N18" s="12">
        <f t="shared" si="9"/>
        <v>204277.63543213918</v>
      </c>
      <c r="O18" s="12">
        <f t="shared" si="10"/>
        <v>1253352.11207693</v>
      </c>
      <c r="P18" s="25">
        <f t="shared" si="11"/>
        <v>1253352.11207693</v>
      </c>
      <c r="R18" s="5">
        <v>123313.77763214809</v>
      </c>
      <c r="T18" s="31"/>
      <c r="V18" s="9">
        <f t="shared" si="1"/>
        <v>1376665.889709078</v>
      </c>
      <c r="W18" s="6">
        <f t="shared" si="12"/>
        <v>10.833211542594675</v>
      </c>
      <c r="X18" s="52">
        <v>1</v>
      </c>
      <c r="Y18" s="53">
        <v>0</v>
      </c>
      <c r="Z18" s="52">
        <v>1</v>
      </c>
      <c r="AA18" s="84">
        <v>0</v>
      </c>
      <c r="AB18" s="15">
        <f t="shared" si="13"/>
        <v>1377528.5551999998</v>
      </c>
      <c r="AC18" s="27">
        <f t="shared" si="14"/>
        <v>10.84</v>
      </c>
      <c r="AD18" s="21"/>
      <c r="AE18" s="21"/>
      <c r="AG18" s="85">
        <f t="shared" si="2"/>
        <v>-76628.483815657193</v>
      </c>
      <c r="AH18" s="79"/>
      <c r="AI18" s="29">
        <f t="shared" si="3"/>
        <v>10.236997788956089</v>
      </c>
      <c r="AJ18" s="85">
        <f t="shared" si="4"/>
        <v>1300900.0713843426</v>
      </c>
      <c r="AL18" s="112">
        <v>12707.828</v>
      </c>
      <c r="AM18" s="17">
        <v>0.86116276500379929</v>
      </c>
    </row>
    <row r="19" spans="2:39" x14ac:dyDescent="0.25">
      <c r="B19" s="39" t="s">
        <v>0</v>
      </c>
      <c r="C19" s="35" t="str">
        <f>+'Fee Schedule'!C12</f>
        <v>Telephone Books</v>
      </c>
      <c r="D19" s="50">
        <v>2.1017381802212906E-4</v>
      </c>
      <c r="E19" s="50">
        <v>4.8412219090887277E-4</v>
      </c>
      <c r="F19" s="50">
        <v>3.2554355416404909E-4</v>
      </c>
      <c r="H19" s="11">
        <f t="shared" si="5"/>
        <v>26181.345478657222</v>
      </c>
      <c r="I19" s="11">
        <f t="shared" si="6"/>
        <v>40204.723415280037</v>
      </c>
      <c r="K19" s="11">
        <f t="shared" si="7"/>
        <v>12063.567076066625</v>
      </c>
      <c r="M19" s="12">
        <f t="shared" si="8"/>
        <v>66386.068893937263</v>
      </c>
      <c r="N19" s="12">
        <f t="shared" si="9"/>
        <v>12063.567076066625</v>
      </c>
      <c r="O19" s="12">
        <f t="shared" si="10"/>
        <v>54322.501817870638</v>
      </c>
      <c r="P19" s="25">
        <f t="shared" si="11"/>
        <v>54322.501817870638</v>
      </c>
      <c r="R19" s="5">
        <v>5616.1840491036692</v>
      </c>
      <c r="T19" s="31"/>
      <c r="V19" s="9">
        <f t="shared" si="1"/>
        <v>59938.685866974309</v>
      </c>
      <c r="W19" s="6">
        <f t="shared" si="12"/>
        <v>9.2481274009128462</v>
      </c>
      <c r="X19" s="52">
        <v>1</v>
      </c>
      <c r="Y19" s="53">
        <v>0</v>
      </c>
      <c r="Z19" s="52">
        <v>1</v>
      </c>
      <c r="AA19" s="84">
        <v>0</v>
      </c>
      <c r="AB19" s="15">
        <f t="shared" si="13"/>
        <v>59950.822499999995</v>
      </c>
      <c r="AC19" s="27">
        <f t="shared" si="14"/>
        <v>9.25</v>
      </c>
      <c r="AD19" s="21"/>
      <c r="AE19" s="21"/>
      <c r="AG19" s="85">
        <f t="shared" si="2"/>
        <v>-3334.9149927491735</v>
      </c>
      <c r="AH19" s="79"/>
      <c r="AI19" s="29">
        <f t="shared" si="3"/>
        <v>8.7354455302438954</v>
      </c>
      <c r="AJ19" s="85">
        <f t="shared" si="4"/>
        <v>56615.90750725082</v>
      </c>
      <c r="AL19" s="112">
        <v>648.11699999999996</v>
      </c>
      <c r="AM19" s="17">
        <v>0.90389912520251847</v>
      </c>
    </row>
    <row r="20" spans="2:39" x14ac:dyDescent="0.25">
      <c r="B20" s="40" t="s">
        <v>0</v>
      </c>
      <c r="C20" s="35" t="str">
        <f>+'Fee Schedule'!C13</f>
        <v>Other Printed Paper</v>
      </c>
      <c r="D20" s="50">
        <v>1.3861440039017509E-2</v>
      </c>
      <c r="E20" s="50">
        <v>1.1032011420473662E-2</v>
      </c>
      <c r="F20" s="50">
        <v>5.1419496285664444E-3</v>
      </c>
      <c r="H20" s="11">
        <f t="shared" si="5"/>
        <v>1726719.1218603575</v>
      </c>
      <c r="I20" s="11">
        <f t="shared" si="6"/>
        <v>916171.52901351394</v>
      </c>
      <c r="K20" s="11">
        <f t="shared" si="7"/>
        <v>190543.64140384318</v>
      </c>
      <c r="M20" s="12">
        <f t="shared" si="8"/>
        <v>2642890.6508738715</v>
      </c>
      <c r="N20" s="12">
        <f t="shared" si="9"/>
        <v>190543.64140384318</v>
      </c>
      <c r="O20" s="12">
        <f t="shared" si="10"/>
        <v>2452347.0094700283</v>
      </c>
      <c r="P20" s="25">
        <f t="shared" si="11"/>
        <v>2452347.0094700283</v>
      </c>
      <c r="R20" s="5">
        <v>223585.46852167338</v>
      </c>
      <c r="T20" s="31"/>
      <c r="V20" s="9">
        <f t="shared" si="1"/>
        <v>2675932.4779917016</v>
      </c>
      <c r="W20" s="6">
        <f t="shared" si="12"/>
        <v>8.496972859990807</v>
      </c>
      <c r="X20" s="52">
        <v>1</v>
      </c>
      <c r="Y20" s="53">
        <v>0</v>
      </c>
      <c r="Z20" s="52">
        <v>1</v>
      </c>
      <c r="AA20" s="84">
        <v>0</v>
      </c>
      <c r="AB20" s="15">
        <f t="shared" si="13"/>
        <v>2676885.8083599992</v>
      </c>
      <c r="AC20" s="27">
        <f t="shared" si="14"/>
        <v>8.5</v>
      </c>
      <c r="AD20" s="21"/>
      <c r="AE20" s="21"/>
      <c r="AG20" s="85">
        <f t="shared" si="2"/>
        <v>-148908.492726305</v>
      </c>
      <c r="AH20" s="79"/>
      <c r="AI20" s="29">
        <f t="shared" si="3"/>
        <v>8.0271661629268216</v>
      </c>
      <c r="AJ20" s="85">
        <f t="shared" si="4"/>
        <v>2527977.3156336942</v>
      </c>
      <c r="AL20" s="112">
        <v>31492.774215999991</v>
      </c>
      <c r="AM20" s="17">
        <v>0.31231291354352281</v>
      </c>
    </row>
    <row r="21" spans="2:39" x14ac:dyDescent="0.25">
      <c r="B21" s="38" t="s">
        <v>1</v>
      </c>
      <c r="C21" s="35" t="str">
        <f>+'Fee Schedule'!C14</f>
        <v>Corrugated Cardboard</v>
      </c>
      <c r="D21" s="50">
        <v>0.10158589401415971</v>
      </c>
      <c r="E21" s="50">
        <v>0.25369732786919036</v>
      </c>
      <c r="F21" s="50">
        <v>0.14400152012461345</v>
      </c>
      <c r="H21" s="11">
        <f t="shared" si="5"/>
        <v>12654551.418307198</v>
      </c>
      <c r="I21" s="11">
        <f t="shared" si="6"/>
        <v>21068711.762680486</v>
      </c>
      <c r="K21" s="11">
        <f t="shared" si="7"/>
        <v>5336219.9154569358</v>
      </c>
      <c r="M21" s="12">
        <f t="shared" si="8"/>
        <v>33723263.180987686</v>
      </c>
      <c r="N21" s="12">
        <f t="shared" si="9"/>
        <v>5336219.9154569358</v>
      </c>
      <c r="O21" s="12">
        <f t="shared" si="10"/>
        <v>28387043.26553075</v>
      </c>
      <c r="P21" s="25">
        <f t="shared" si="11"/>
        <v>28387043.26553075</v>
      </c>
      <c r="R21" s="5">
        <v>1080928.8066848062</v>
      </c>
      <c r="T21" s="31"/>
      <c r="V21" s="9">
        <f t="shared" si="1"/>
        <v>29467972.072215557</v>
      </c>
      <c r="W21" s="6">
        <f t="shared" si="12"/>
        <v>21.961796643352411</v>
      </c>
      <c r="X21" s="52">
        <v>2</v>
      </c>
      <c r="Y21" s="53">
        <v>1</v>
      </c>
      <c r="Z21" s="52"/>
      <c r="AA21" s="53"/>
      <c r="AB21" s="15">
        <f t="shared" si="13"/>
        <v>21589293.368922304</v>
      </c>
      <c r="AC21" s="27">
        <f t="shared" si="14"/>
        <v>16.09</v>
      </c>
      <c r="AD21" s="21"/>
      <c r="AE21" s="21"/>
      <c r="AG21" s="85">
        <f t="shared" si="2"/>
        <v>-1200958.6380383575</v>
      </c>
      <c r="AH21" s="79"/>
      <c r="AI21" s="29">
        <f t="shared" si="3"/>
        <v>15.194953360175599</v>
      </c>
      <c r="AJ21" s="85">
        <f t="shared" si="4"/>
        <v>20388334.730883949</v>
      </c>
      <c r="AL21" s="112">
        <v>134178.33044700001</v>
      </c>
      <c r="AM21" s="17">
        <v>0.98</v>
      </c>
    </row>
    <row r="22" spans="2:39" x14ac:dyDescent="0.25">
      <c r="B22" s="39" t="s">
        <v>1</v>
      </c>
      <c r="C22" s="35" t="str">
        <f>+'Fee Schedule'!C15</f>
        <v>Boxboard</v>
      </c>
      <c r="D22" s="50">
        <v>7.9637854073728545E-2</v>
      </c>
      <c r="E22" s="50">
        <v>9.6074022675115028E-2</v>
      </c>
      <c r="F22" s="50">
        <v>4.7338134010352091E-2</v>
      </c>
      <c r="H22" s="11">
        <f t="shared" si="5"/>
        <v>9920484.8173031975</v>
      </c>
      <c r="I22" s="11">
        <f t="shared" si="6"/>
        <v>7978625.1933520902</v>
      </c>
      <c r="K22" s="11">
        <f t="shared" si="7"/>
        <v>1754194.6310567684</v>
      </c>
      <c r="M22" s="12">
        <f t="shared" si="8"/>
        <v>17899110.010655288</v>
      </c>
      <c r="N22" s="12">
        <f t="shared" si="9"/>
        <v>1754194.6310567684</v>
      </c>
      <c r="O22" s="12">
        <f t="shared" si="10"/>
        <v>16144915.379598519</v>
      </c>
      <c r="P22" s="25">
        <f t="shared" si="11"/>
        <v>16144915.379598519</v>
      </c>
      <c r="R22" s="5">
        <v>573718.60844846733</v>
      </c>
      <c r="T22" s="31"/>
      <c r="V22" s="9">
        <f t="shared" si="1"/>
        <v>16718633.988046987</v>
      </c>
      <c r="W22" s="6">
        <f t="shared" si="12"/>
        <v>10.924637737448307</v>
      </c>
      <c r="X22" s="52">
        <v>2</v>
      </c>
      <c r="Y22" s="53">
        <v>1</v>
      </c>
      <c r="Z22" s="52"/>
      <c r="AA22" s="53"/>
      <c r="AB22" s="15">
        <f t="shared" si="13"/>
        <v>24623500.324003205</v>
      </c>
      <c r="AC22" s="27">
        <f t="shared" si="14"/>
        <v>16.09</v>
      </c>
      <c r="AD22" s="21"/>
      <c r="AE22" s="21"/>
      <c r="AG22" s="85">
        <f t="shared" si="2"/>
        <v>-1369744.0165142426</v>
      </c>
      <c r="AH22" s="79"/>
      <c r="AI22" s="29">
        <f t="shared" si="3"/>
        <v>15.194953360175598</v>
      </c>
      <c r="AJ22" s="85">
        <f t="shared" si="4"/>
        <v>23253756.307488963</v>
      </c>
      <c r="AL22" s="112">
        <v>153036.04924800002</v>
      </c>
      <c r="AM22" s="17">
        <v>0.4734019211158117</v>
      </c>
    </row>
    <row r="23" spans="2:39" x14ac:dyDescent="0.25">
      <c r="B23" s="39" t="s">
        <v>1</v>
      </c>
      <c r="C23" s="35" t="str">
        <f>+'Fee Schedule'!C16</f>
        <v>Gable Top Cartons</v>
      </c>
      <c r="D23" s="50">
        <v>2.3046223757659769E-2</v>
      </c>
      <c r="E23" s="50">
        <v>2.7725482831493359E-2</v>
      </c>
      <c r="F23" s="50">
        <v>3.3255589135458121E-3</v>
      </c>
      <c r="H23" s="11">
        <f t="shared" si="5"/>
        <v>2870867.3223712319</v>
      </c>
      <c r="I23" s="11">
        <f t="shared" si="6"/>
        <v>2302508.3124212893</v>
      </c>
      <c r="K23" s="11">
        <f t="shared" si="7"/>
        <v>123234.21092452253</v>
      </c>
      <c r="M23" s="12">
        <f t="shared" si="8"/>
        <v>5173375.6347925216</v>
      </c>
      <c r="N23" s="12">
        <f t="shared" si="9"/>
        <v>123234.21092452253</v>
      </c>
      <c r="O23" s="12">
        <f t="shared" si="10"/>
        <v>5050141.4238679986</v>
      </c>
      <c r="P23" s="25">
        <f t="shared" si="11"/>
        <v>5050141.4238679986</v>
      </c>
      <c r="R23" s="5">
        <v>165821.75697045794</v>
      </c>
      <c r="T23" s="31"/>
      <c r="V23" s="9">
        <f t="shared" si="1"/>
        <v>5215963.1808384564</v>
      </c>
      <c r="W23" s="6">
        <f t="shared" si="12"/>
        <v>43.508305472488068</v>
      </c>
      <c r="X23" s="52">
        <v>3</v>
      </c>
      <c r="Y23" s="53">
        <v>1</v>
      </c>
      <c r="Z23" s="52"/>
      <c r="AA23" s="53"/>
      <c r="AB23" s="15">
        <f t="shared" si="13"/>
        <v>3933404.2110999995</v>
      </c>
      <c r="AC23" s="27">
        <f t="shared" si="14"/>
        <v>32.809999999999995</v>
      </c>
      <c r="AD23" s="21"/>
      <c r="AE23" s="21"/>
      <c r="AG23" s="85">
        <f t="shared" si="2"/>
        <v>-218805.48304637728</v>
      </c>
      <c r="AH23" s="79"/>
      <c r="AI23" s="29">
        <f t="shared" si="3"/>
        <v>30.984861388897531</v>
      </c>
      <c r="AJ23" s="85">
        <f t="shared" si="4"/>
        <v>3714598.7280536224</v>
      </c>
      <c r="AL23" s="112">
        <v>11988.431</v>
      </c>
      <c r="AM23" s="17">
        <v>0.47208796993666879</v>
      </c>
    </row>
    <row r="24" spans="2:39" x14ac:dyDescent="0.25">
      <c r="B24" s="39" t="s">
        <v>1</v>
      </c>
      <c r="C24" s="35" t="str">
        <f>+'Fee Schedule'!C17</f>
        <v>Paper Laminates</v>
      </c>
      <c r="D24" s="50">
        <v>5.9393844730171758E-2</v>
      </c>
      <c r="E24" s="50">
        <v>1.3631041891451695E-2</v>
      </c>
      <c r="F24" s="50">
        <v>1.6595627823365593E-3</v>
      </c>
      <c r="H24" s="11">
        <f t="shared" si="5"/>
        <v>7398689.2507354338</v>
      </c>
      <c r="I24" s="11">
        <f t="shared" si="6"/>
        <v>1132012.2882180961</v>
      </c>
      <c r="K24" s="11">
        <f t="shared" si="7"/>
        <v>61497.906149824004</v>
      </c>
      <c r="M24" s="12">
        <f t="shared" si="8"/>
        <v>8530701.5389535297</v>
      </c>
      <c r="N24" s="12">
        <f t="shared" si="9"/>
        <v>61497.906149824004</v>
      </c>
      <c r="O24" s="12">
        <f t="shared" si="10"/>
        <v>8469203.6328037065</v>
      </c>
      <c r="P24" s="25">
        <f t="shared" si="11"/>
        <v>8469203.6328037065</v>
      </c>
      <c r="R24" s="5">
        <v>273433.83068231336</v>
      </c>
      <c r="T24" s="31"/>
      <c r="V24" s="9">
        <f t="shared" si="1"/>
        <v>8742637.4634860195</v>
      </c>
      <c r="W24" s="6">
        <f t="shared" si="12"/>
        <v>28.296873705444217</v>
      </c>
      <c r="X24" s="52">
        <v>3</v>
      </c>
      <c r="Y24" s="53">
        <v>1</v>
      </c>
      <c r="Z24" s="52"/>
      <c r="AA24" s="53"/>
      <c r="AB24" s="15">
        <f t="shared" si="13"/>
        <v>10137018.603641298</v>
      </c>
      <c r="AC24" s="27">
        <f t="shared" si="14"/>
        <v>32.809999999999995</v>
      </c>
      <c r="AD24" s="21"/>
      <c r="AE24" s="21"/>
      <c r="AG24" s="85">
        <f t="shared" si="2"/>
        <v>-563897.10621669388</v>
      </c>
      <c r="AH24" s="79"/>
      <c r="AI24" s="29">
        <f t="shared" si="3"/>
        <v>30.984861388897531</v>
      </c>
      <c r="AJ24" s="85">
        <f t="shared" si="4"/>
        <v>9573121.4974246044</v>
      </c>
      <c r="AL24" s="112">
        <v>30896.124972999998</v>
      </c>
      <c r="AM24" s="17">
        <v>9.0059846614281805E-2</v>
      </c>
    </row>
    <row r="25" spans="2:39" x14ac:dyDescent="0.25">
      <c r="B25" s="40" t="s">
        <v>1</v>
      </c>
      <c r="C25" s="35" t="str">
        <f>+'Fee Schedule'!C18</f>
        <v>Aseptic Containers</v>
      </c>
      <c r="D25" s="50">
        <v>1.0680412249961463E-2</v>
      </c>
      <c r="E25" s="50">
        <v>6.8841220839389351E-3</v>
      </c>
      <c r="F25" s="50">
        <v>8.0457209381348056E-4</v>
      </c>
      <c r="H25" s="11">
        <f t="shared" si="5"/>
        <v>1330458.5966139797</v>
      </c>
      <c r="I25" s="11">
        <f t="shared" si="6"/>
        <v>571703.23843693384</v>
      </c>
      <c r="K25" s="11">
        <f t="shared" si="7"/>
        <v>29814.779918385986</v>
      </c>
      <c r="M25" s="12">
        <f t="shared" si="8"/>
        <v>1902161.8350509135</v>
      </c>
      <c r="N25" s="12">
        <f t="shared" si="9"/>
        <v>29814.779918385986</v>
      </c>
      <c r="O25" s="12">
        <f t="shared" si="10"/>
        <v>1872347.0551325276</v>
      </c>
      <c r="P25" s="25">
        <f t="shared" si="11"/>
        <v>1872347.0551325276</v>
      </c>
      <c r="R25" s="5">
        <v>60969.827013719791</v>
      </c>
      <c r="T25" s="31"/>
      <c r="V25" s="9">
        <f t="shared" si="1"/>
        <v>1933316.8821462474</v>
      </c>
      <c r="W25" s="6">
        <f t="shared" si="12"/>
        <v>34.797853328792428</v>
      </c>
      <c r="X25" s="52">
        <v>3</v>
      </c>
      <c r="Y25" s="53">
        <v>1</v>
      </c>
      <c r="Z25" s="52"/>
      <c r="AA25" s="53"/>
      <c r="AB25" s="15">
        <f t="shared" si="13"/>
        <v>1822874.7130999996</v>
      </c>
      <c r="AC25" s="27">
        <f t="shared" si="14"/>
        <v>32.809999999999995</v>
      </c>
      <c r="AD25" s="21"/>
      <c r="AE25" s="21"/>
      <c r="AG25" s="85">
        <f t="shared" si="2"/>
        <v>-101401.98177632237</v>
      </c>
      <c r="AH25" s="79"/>
      <c r="AI25" s="29">
        <f t="shared" si="3"/>
        <v>30.984861388897531</v>
      </c>
      <c r="AJ25" s="85">
        <f t="shared" si="4"/>
        <v>1721472.7313236771</v>
      </c>
      <c r="AL25" s="112">
        <v>5555.8509999999997</v>
      </c>
      <c r="AM25" s="17">
        <v>0.25293220907082203</v>
      </c>
    </row>
    <row r="26" spans="2:39" x14ac:dyDescent="0.25">
      <c r="B26" s="38" t="s">
        <v>2</v>
      </c>
      <c r="C26" s="35" t="str">
        <f>+'Fee Schedule'!C19</f>
        <v>PET Bottles</v>
      </c>
      <c r="D26" s="50">
        <v>0.10604124574414033</v>
      </c>
      <c r="E26" s="50">
        <v>0.1607996882457681</v>
      </c>
      <c r="F26" s="50">
        <v>0.16770439719059399</v>
      </c>
      <c r="H26" s="11">
        <f t="shared" si="5"/>
        <v>13209554.434236012</v>
      </c>
      <c r="I26" s="11">
        <f t="shared" si="6"/>
        <v>13353874.522974024</v>
      </c>
      <c r="K26" s="11">
        <f t="shared" si="7"/>
        <v>6214570.1199801834</v>
      </c>
      <c r="M26" s="12">
        <f t="shared" si="8"/>
        <v>26563428.957210034</v>
      </c>
      <c r="N26" s="12">
        <f t="shared" si="9"/>
        <v>6214570.1199801834</v>
      </c>
      <c r="O26" s="12">
        <f t="shared" si="10"/>
        <v>20348858.837229852</v>
      </c>
      <c r="P26" s="25">
        <f t="shared" si="11"/>
        <v>20348858.837229852</v>
      </c>
      <c r="R26" s="5">
        <v>946774.43765140057</v>
      </c>
      <c r="T26" s="31"/>
      <c r="V26" s="9">
        <f t="shared" si="1"/>
        <v>21295633.274881251</v>
      </c>
      <c r="W26" s="6">
        <f t="shared" si="12"/>
        <v>33.010307629567777</v>
      </c>
      <c r="X26" s="52">
        <v>4</v>
      </c>
      <c r="Y26" s="53">
        <v>0</v>
      </c>
      <c r="Z26" s="52"/>
      <c r="AA26" s="53"/>
      <c r="AB26" s="15">
        <f t="shared" si="13"/>
        <v>21301886.023828793</v>
      </c>
      <c r="AC26" s="27">
        <f t="shared" si="14"/>
        <v>33.019999999999996</v>
      </c>
      <c r="AD26" s="21"/>
      <c r="AE26" s="21"/>
      <c r="AG26" s="85">
        <f t="shared" si="2"/>
        <v>-1184970.8830049951</v>
      </c>
      <c r="AH26" s="79"/>
      <c r="AI26" s="29">
        <f t="shared" si="3"/>
        <v>31.183179611746304</v>
      </c>
      <c r="AJ26" s="85">
        <f t="shared" si="4"/>
        <v>20116915.140823796</v>
      </c>
      <c r="AL26" s="112">
        <v>64512.071543999991</v>
      </c>
      <c r="AM26" s="17">
        <v>0.59505070093343426</v>
      </c>
    </row>
    <row r="27" spans="2:39" x14ac:dyDescent="0.25">
      <c r="B27" s="39" t="s">
        <v>2</v>
      </c>
      <c r="C27" s="35" t="str">
        <f>+'Fee Schedule'!C20</f>
        <v>HDPE Bottles</v>
      </c>
      <c r="D27" s="50">
        <v>4.7829493631992355E-2</v>
      </c>
      <c r="E27" s="50">
        <v>6.173573369670305E-2</v>
      </c>
      <c r="F27" s="50">
        <v>8.4123260462016083E-2</v>
      </c>
      <c r="H27" s="11">
        <f t="shared" si="5"/>
        <v>5958118.4213753017</v>
      </c>
      <c r="I27" s="11">
        <f t="shared" si="6"/>
        <v>5126945.5206248425</v>
      </c>
      <c r="K27" s="11">
        <f t="shared" si="7"/>
        <v>3117329.7159788315</v>
      </c>
      <c r="M27" s="12">
        <f t="shared" si="8"/>
        <v>11085063.942000143</v>
      </c>
      <c r="N27" s="12">
        <f t="shared" si="9"/>
        <v>3117329.7159788315</v>
      </c>
      <c r="O27" s="12">
        <f t="shared" si="10"/>
        <v>7967734.2260213122</v>
      </c>
      <c r="P27" s="25">
        <f t="shared" si="11"/>
        <v>7967734.2260213122</v>
      </c>
      <c r="R27" s="5">
        <v>395094.14228573686</v>
      </c>
      <c r="T27" s="31"/>
      <c r="V27" s="9">
        <f t="shared" si="1"/>
        <v>8362828.3683070494</v>
      </c>
      <c r="W27" s="6">
        <f t="shared" si="12"/>
        <v>27.033826609998336</v>
      </c>
      <c r="X27" s="52">
        <v>5</v>
      </c>
      <c r="Y27" s="53">
        <v>0</v>
      </c>
      <c r="Z27" s="52"/>
      <c r="AA27" s="53"/>
      <c r="AB27" s="15">
        <f t="shared" si="13"/>
        <v>8364738.0868896004</v>
      </c>
      <c r="AC27" s="27">
        <f t="shared" si="14"/>
        <v>27.040000000000003</v>
      </c>
      <c r="AD27" s="21"/>
      <c r="AE27" s="21"/>
      <c r="AG27" s="85">
        <f t="shared" si="2"/>
        <v>-465309.55361601867</v>
      </c>
      <c r="AH27" s="79"/>
      <c r="AI27" s="29">
        <f t="shared" si="3"/>
        <v>25.535832123004859</v>
      </c>
      <c r="AJ27" s="85">
        <f t="shared" si="4"/>
        <v>7899428.5332735814</v>
      </c>
      <c r="AL27" s="112">
        <v>30934.682273999999</v>
      </c>
      <c r="AM27" s="17">
        <v>0.50650579737381185</v>
      </c>
    </row>
    <row r="28" spans="2:39" x14ac:dyDescent="0.25">
      <c r="B28" s="39" t="s">
        <v>2</v>
      </c>
      <c r="C28" s="35" t="str">
        <f>+'Fee Schedule'!C21</f>
        <v>Plastic Film</v>
      </c>
      <c r="D28" s="50">
        <v>0.18031551624698255</v>
      </c>
      <c r="E28" s="50">
        <v>4.1681879865438226E-2</v>
      </c>
      <c r="F28" s="50">
        <v>6.9347177254551508E-3</v>
      </c>
      <c r="H28" s="11">
        <f t="shared" si="5"/>
        <v>22461897.825577963</v>
      </c>
      <c r="I28" s="11">
        <f t="shared" si="6"/>
        <v>3461540.2534487713</v>
      </c>
      <c r="K28" s="11">
        <f t="shared" si="7"/>
        <v>256977.69580920477</v>
      </c>
      <c r="M28" s="12">
        <f t="shared" si="8"/>
        <v>25923438.079026736</v>
      </c>
      <c r="N28" s="12">
        <f t="shared" si="9"/>
        <v>256977.69580920477</v>
      </c>
      <c r="O28" s="12">
        <f t="shared" si="10"/>
        <v>25666460.383217532</v>
      </c>
      <c r="P28" s="25">
        <f t="shared" si="11"/>
        <v>25666460.383217532</v>
      </c>
      <c r="R28" s="5">
        <v>923963.86583967844</v>
      </c>
      <c r="T28" s="31"/>
      <c r="V28" s="9">
        <f t="shared" si="1"/>
        <v>26590424.249057211</v>
      </c>
      <c r="W28" s="6">
        <f t="shared" si="12"/>
        <v>56.883376597947191</v>
      </c>
      <c r="X28" s="52">
        <v>6</v>
      </c>
      <c r="Y28" s="53">
        <v>1</v>
      </c>
      <c r="Z28" s="52"/>
      <c r="AA28" s="53"/>
      <c r="AB28" s="15">
        <f t="shared" si="13"/>
        <v>19759326.893548198</v>
      </c>
      <c r="AC28" s="27">
        <f t="shared" si="14"/>
        <v>42.269999999999996</v>
      </c>
      <c r="AD28" s="21"/>
      <c r="AE28" s="21"/>
      <c r="AG28" s="85">
        <f t="shared" si="2"/>
        <v>-1099162.1591834847</v>
      </c>
      <c r="AH28" s="79"/>
      <c r="AI28" s="29">
        <f t="shared" si="3"/>
        <v>39.918625141990205</v>
      </c>
      <c r="AJ28" s="85">
        <f t="shared" si="4"/>
        <v>18660164.734364714</v>
      </c>
      <c r="AL28" s="112">
        <v>46745.509566000001</v>
      </c>
      <c r="AM28" s="17">
        <v>9.0710547391814625E-2</v>
      </c>
    </row>
    <row r="29" spans="2:39" x14ac:dyDescent="0.25">
      <c r="B29" s="39" t="s">
        <v>2</v>
      </c>
      <c r="C29" s="35" t="str">
        <f>+'Fee Schedule'!C22</f>
        <v>Plastic Laminates</v>
      </c>
      <c r="D29" s="50">
        <v>0.1085419252976061</v>
      </c>
      <c r="E29" s="50">
        <v>7.7325918541389553E-3</v>
      </c>
      <c r="F29" s="50">
        <v>0</v>
      </c>
      <c r="H29" s="11">
        <f t="shared" si="5"/>
        <v>13521064.00253918</v>
      </c>
      <c r="I29" s="11">
        <f t="shared" si="6"/>
        <v>642165.80569309811</v>
      </c>
      <c r="K29" s="11">
        <f t="shared" si="7"/>
        <v>0</v>
      </c>
      <c r="M29" s="12">
        <f t="shared" si="8"/>
        <v>14163229.808232278</v>
      </c>
      <c r="N29" s="12">
        <f t="shared" si="9"/>
        <v>0</v>
      </c>
      <c r="O29" s="12">
        <f t="shared" si="10"/>
        <v>14163229.808232278</v>
      </c>
      <c r="P29" s="25">
        <f t="shared" si="11"/>
        <v>14163229.808232278</v>
      </c>
      <c r="R29" s="5">
        <v>504806.21152552665</v>
      </c>
      <c r="T29" s="31"/>
      <c r="V29" s="9">
        <f t="shared" si="1"/>
        <v>14668036.019757804</v>
      </c>
      <c r="W29" s="6">
        <f t="shared" si="12"/>
        <v>52.127590182660541</v>
      </c>
      <c r="X29" s="52">
        <v>6</v>
      </c>
      <c r="Y29" s="53">
        <v>1</v>
      </c>
      <c r="Z29" s="52"/>
      <c r="AA29" s="53"/>
      <c r="AB29" s="15">
        <f t="shared" si="13"/>
        <v>11894236.437605398</v>
      </c>
      <c r="AC29" s="27">
        <f t="shared" si="14"/>
        <v>42.269999999999996</v>
      </c>
      <c r="AD29" s="21"/>
      <c r="AE29" s="21"/>
      <c r="AG29" s="85">
        <f t="shared" si="2"/>
        <v>-661646.75927630125</v>
      </c>
      <c r="AH29" s="79"/>
      <c r="AI29" s="29">
        <f t="shared" si="3"/>
        <v>39.918625141990212</v>
      </c>
      <c r="AJ29" s="85">
        <f t="shared" si="4"/>
        <v>11232589.678329097</v>
      </c>
      <c r="AL29" s="112">
        <v>28138.718801999996</v>
      </c>
      <c r="AM29" s="17">
        <v>2.7955750551466579E-2</v>
      </c>
    </row>
    <row r="30" spans="2:39" x14ac:dyDescent="0.25">
      <c r="B30" s="39" t="s">
        <v>2</v>
      </c>
      <c r="C30" s="35" t="str">
        <f>+'Fee Schedule'!C23</f>
        <v>Polystyrene</v>
      </c>
      <c r="D30" s="50">
        <v>2.9883630186062961E-2</v>
      </c>
      <c r="E30" s="50">
        <v>2.7031959425692191E-3</v>
      </c>
      <c r="F30" s="50">
        <v>1.3566498673000219E-3</v>
      </c>
      <c r="H30" s="11">
        <f t="shared" si="5"/>
        <v>3722602.8123796387</v>
      </c>
      <c r="I30" s="11">
        <f t="shared" si="6"/>
        <v>224491.3520784259</v>
      </c>
      <c r="K30" s="11">
        <f t="shared" si="7"/>
        <v>50272.95568771565</v>
      </c>
      <c r="M30" s="12">
        <f t="shared" si="8"/>
        <v>3947094.1644580644</v>
      </c>
      <c r="N30" s="12">
        <f t="shared" si="9"/>
        <v>50272.95568771565</v>
      </c>
      <c r="O30" s="12">
        <f t="shared" si="10"/>
        <v>3896821.2087703487</v>
      </c>
      <c r="P30" s="25">
        <f t="shared" si="11"/>
        <v>3896821.2087703487</v>
      </c>
      <c r="R30" s="5">
        <v>140682.43463340917</v>
      </c>
      <c r="T30" s="31"/>
      <c r="V30" s="9">
        <f t="shared" si="1"/>
        <v>4037503.6434037578</v>
      </c>
      <c r="W30" s="6">
        <f t="shared" si="12"/>
        <v>27.921860984274748</v>
      </c>
      <c r="X30" s="52">
        <v>6</v>
      </c>
      <c r="Y30" s="53">
        <v>1</v>
      </c>
      <c r="Z30" s="52"/>
      <c r="AA30" s="53"/>
      <c r="AB30" s="15">
        <f t="shared" si="13"/>
        <v>6112245.8529105</v>
      </c>
      <c r="AC30" s="27">
        <f t="shared" si="14"/>
        <v>42.269999999999996</v>
      </c>
      <c r="AD30" s="21"/>
      <c r="AE30" s="21"/>
      <c r="AG30" s="85">
        <f t="shared" si="2"/>
        <v>-340009.01879603381</v>
      </c>
      <c r="AH30" s="79"/>
      <c r="AI30" s="29">
        <f t="shared" si="3"/>
        <v>39.918625141990205</v>
      </c>
      <c r="AJ30" s="85">
        <f t="shared" si="4"/>
        <v>5772236.8341144659</v>
      </c>
      <c r="AL30" s="112">
        <v>14460.009115000003</v>
      </c>
      <c r="AM30" s="17">
        <v>3.549668227972768E-2</v>
      </c>
    </row>
    <row r="31" spans="2:39" x14ac:dyDescent="0.25">
      <c r="B31" s="40" t="s">
        <v>2</v>
      </c>
      <c r="C31" s="35" t="str">
        <f>+'Fee Schedule'!C24</f>
        <v>Other Plastics</v>
      </c>
      <c r="D31" s="50">
        <v>0.12867923012718904</v>
      </c>
      <c r="E31" s="50">
        <v>0.12044911725842464</v>
      </c>
      <c r="F31" s="50">
        <v>9.7701069525267553E-2</v>
      </c>
      <c r="H31" s="11">
        <f t="shared" si="5"/>
        <v>16029567.391371526</v>
      </c>
      <c r="I31" s="11">
        <f t="shared" si="6"/>
        <v>10002895.004457939</v>
      </c>
      <c r="K31" s="11">
        <f t="shared" si="7"/>
        <v>3620478.3984989538</v>
      </c>
      <c r="M31" s="12">
        <f t="shared" si="8"/>
        <v>26032462.395829465</v>
      </c>
      <c r="N31" s="12">
        <f t="shared" si="9"/>
        <v>3620478.3984989538</v>
      </c>
      <c r="O31" s="12">
        <f t="shared" si="10"/>
        <v>22411983.997330513</v>
      </c>
      <c r="P31" s="25">
        <f t="shared" si="11"/>
        <v>22411983.997330513</v>
      </c>
      <c r="R31" s="5">
        <v>927849.71342349413</v>
      </c>
      <c r="T31" s="31"/>
      <c r="V31" s="9">
        <f t="shared" si="1"/>
        <v>23339833.710754007</v>
      </c>
      <c r="W31" s="6">
        <f t="shared" si="12"/>
        <v>31.947819344188805</v>
      </c>
      <c r="X31" s="52">
        <v>6</v>
      </c>
      <c r="Y31" s="53">
        <v>1</v>
      </c>
      <c r="Z31" s="52"/>
      <c r="AA31" s="53"/>
      <c r="AB31" s="15">
        <f t="shared" si="13"/>
        <v>30880817.25781469</v>
      </c>
      <c r="AC31" s="27">
        <f t="shared" si="14"/>
        <v>42.269999999999996</v>
      </c>
      <c r="AD31" s="21"/>
      <c r="AE31" s="21"/>
      <c r="AG31" s="85">
        <f t="shared" si="2"/>
        <v>-1717822.9783491902</v>
      </c>
      <c r="AH31" s="79"/>
      <c r="AI31" s="29">
        <f t="shared" si="3"/>
        <v>39.918625141990205</v>
      </c>
      <c r="AJ31" s="85">
        <f t="shared" si="4"/>
        <v>29162994.2794655</v>
      </c>
      <c r="AL31" s="112">
        <v>73056.108960999991</v>
      </c>
      <c r="AM31" s="17">
        <v>0.36731507901136362</v>
      </c>
    </row>
    <row r="32" spans="2:39" x14ac:dyDescent="0.25">
      <c r="B32" s="38" t="s">
        <v>3</v>
      </c>
      <c r="C32" s="35" t="str">
        <f>+'Fee Schedule'!C25</f>
        <v>Steel Food &amp; Beverage Cans</v>
      </c>
      <c r="D32" s="50">
        <v>1.6938611544303324E-2</v>
      </c>
      <c r="E32" s="50">
        <v>3.3535476781020854E-2</v>
      </c>
      <c r="F32" s="50">
        <v>0.1034732757407698</v>
      </c>
      <c r="H32" s="11">
        <f t="shared" si="5"/>
        <v>2110042.2733124807</v>
      </c>
      <c r="I32" s="11">
        <f t="shared" si="6"/>
        <v>2785008.8136824928</v>
      </c>
      <c r="K32" s="11">
        <f t="shared" si="7"/>
        <v>3834377.2638486577</v>
      </c>
      <c r="M32" s="12">
        <f t="shared" si="8"/>
        <v>4895051.0869949739</v>
      </c>
      <c r="N32" s="12">
        <f t="shared" si="9"/>
        <v>3834377.2638486577</v>
      </c>
      <c r="O32" s="12">
        <f t="shared" si="10"/>
        <v>1060673.8231463162</v>
      </c>
      <c r="P32" s="25">
        <f t="shared" si="11"/>
        <v>1060673.8231463162</v>
      </c>
      <c r="R32" s="5">
        <v>409707.34186918335</v>
      </c>
      <c r="T32" s="31"/>
      <c r="V32" s="9">
        <f t="shared" si="1"/>
        <v>1470381.1650154996</v>
      </c>
      <c r="W32" s="6">
        <f t="shared" si="12"/>
        <v>3.9289843991338733</v>
      </c>
      <c r="X32" s="52">
        <v>8</v>
      </c>
      <c r="Y32" s="53">
        <v>1</v>
      </c>
      <c r="Z32" s="52"/>
      <c r="AA32" s="53"/>
      <c r="AB32" s="15">
        <f t="shared" si="13"/>
        <v>1560578.7234650999</v>
      </c>
      <c r="AC32" s="27">
        <f t="shared" si="14"/>
        <v>4.17</v>
      </c>
      <c r="AD32" s="21"/>
      <c r="AE32" s="21"/>
      <c r="AG32" s="85">
        <f t="shared" si="2"/>
        <v>-86811.108925972265</v>
      </c>
      <c r="AH32" s="79"/>
      <c r="AI32" s="29">
        <f t="shared" si="3"/>
        <v>3.9380332822829232</v>
      </c>
      <c r="AJ32" s="85">
        <f t="shared" si="4"/>
        <v>1473767.6145391276</v>
      </c>
      <c r="AL32" s="112">
        <v>37423.950203</v>
      </c>
      <c r="AM32" s="17">
        <v>0.7769092039951252</v>
      </c>
    </row>
    <row r="33" spans="1:39" x14ac:dyDescent="0.25">
      <c r="B33" s="39" t="s">
        <v>3</v>
      </c>
      <c r="C33" s="35" t="str">
        <f>+'Fee Schedule'!C26</f>
        <v>Steel Aerosols</v>
      </c>
      <c r="D33" s="50">
        <v>1.9582816495986618E-3</v>
      </c>
      <c r="E33" s="50">
        <v>1.6022399149405967E-3</v>
      </c>
      <c r="F33" s="50">
        <v>4.9436903373725983E-3</v>
      </c>
      <c r="H33" s="11">
        <f t="shared" si="5"/>
        <v>243943.07956692827</v>
      </c>
      <c r="I33" s="11">
        <f t="shared" si="6"/>
        <v>133060.64839575585</v>
      </c>
      <c r="K33" s="11">
        <f t="shared" si="7"/>
        <v>183196.80800113003</v>
      </c>
      <c r="M33" s="12">
        <f t="shared" si="8"/>
        <v>377003.72796268412</v>
      </c>
      <c r="N33" s="12">
        <f t="shared" si="9"/>
        <v>183196.80800113003</v>
      </c>
      <c r="O33" s="12">
        <f t="shared" si="10"/>
        <v>193806.91996155409</v>
      </c>
      <c r="P33" s="25">
        <f t="shared" si="11"/>
        <v>193806.91996155409</v>
      </c>
      <c r="R33" s="5">
        <v>31554.562457730404</v>
      </c>
      <c r="T33" s="31"/>
      <c r="V33" s="9">
        <f t="shared" si="1"/>
        <v>225361.4824192845</v>
      </c>
      <c r="W33" s="6">
        <f t="shared" si="12"/>
        <v>5.2087404626730507</v>
      </c>
      <c r="X33" s="52">
        <v>8</v>
      </c>
      <c r="Y33" s="53">
        <v>1</v>
      </c>
      <c r="Z33" s="52"/>
      <c r="AA33" s="53"/>
      <c r="AB33" s="15">
        <f t="shared" si="13"/>
        <v>180419.31411690003</v>
      </c>
      <c r="AC33" s="27">
        <f t="shared" si="14"/>
        <v>4.17</v>
      </c>
      <c r="AD33" s="21"/>
      <c r="AE33" s="21"/>
      <c r="AG33" s="85">
        <f t="shared" si="2"/>
        <v>-10036.277244235849</v>
      </c>
      <c r="AH33" s="79"/>
      <c r="AI33" s="29">
        <f t="shared" si="3"/>
        <v>3.938033282282924</v>
      </c>
      <c r="AJ33" s="85">
        <f t="shared" si="4"/>
        <v>170383.03687266418</v>
      </c>
      <c r="AL33" s="112">
        <v>4326.6022570000005</v>
      </c>
      <c r="AM33" s="17">
        <v>0.32106723067944726</v>
      </c>
    </row>
    <row r="34" spans="1:39" x14ac:dyDescent="0.25">
      <c r="B34" s="40" t="s">
        <v>3</v>
      </c>
      <c r="C34" s="35" t="str">
        <f>+'Fee Schedule'!C27</f>
        <v>Steel Paint Cans</v>
      </c>
      <c r="D34" s="50">
        <v>1.2209843026974132E-3</v>
      </c>
      <c r="E34" s="50">
        <v>3.5098550511169488E-4</v>
      </c>
      <c r="F34" s="50">
        <v>1.082961193263531E-3</v>
      </c>
      <c r="H34" s="11">
        <f t="shared" si="5"/>
        <v>152097.97373321056</v>
      </c>
      <c r="I34" s="11">
        <f t="shared" si="6"/>
        <v>29148.168418588855</v>
      </c>
      <c r="K34" s="11">
        <f t="shared" si="7"/>
        <v>40130.958910426802</v>
      </c>
      <c r="M34" s="12">
        <f t="shared" si="8"/>
        <v>181246.1421517994</v>
      </c>
      <c r="N34" s="12">
        <f t="shared" si="9"/>
        <v>40130.958910426802</v>
      </c>
      <c r="O34" s="12">
        <f t="shared" si="10"/>
        <v>141115.18324137261</v>
      </c>
      <c r="P34" s="25">
        <f t="shared" si="11"/>
        <v>141115.18324137261</v>
      </c>
      <c r="R34" s="5">
        <v>15169.989813251181</v>
      </c>
      <c r="T34" s="31"/>
      <c r="V34" s="9">
        <f t="shared" si="1"/>
        <v>156285.1730546238</v>
      </c>
      <c r="W34" s="6">
        <f t="shared" si="12"/>
        <v>5.7934315382456392</v>
      </c>
      <c r="X34" s="52">
        <v>8</v>
      </c>
      <c r="Y34" s="53">
        <v>1</v>
      </c>
      <c r="Z34" s="52"/>
      <c r="AA34" s="53"/>
      <c r="AB34" s="15">
        <f t="shared" si="13"/>
        <v>112491.0456498</v>
      </c>
      <c r="AC34" s="27">
        <f t="shared" si="14"/>
        <v>4.17</v>
      </c>
      <c r="AD34" s="21"/>
      <c r="AE34" s="21"/>
      <c r="AG34" s="85">
        <f t="shared" si="2"/>
        <v>-6257.5967942316347</v>
      </c>
      <c r="AH34" s="79"/>
      <c r="AI34" s="29">
        <f t="shared" si="3"/>
        <v>3.9380332822829232</v>
      </c>
      <c r="AJ34" s="85">
        <f t="shared" si="4"/>
        <v>106233.44885556836</v>
      </c>
      <c r="AL34" s="112">
        <v>2697.6269940000002</v>
      </c>
      <c r="AM34" s="17">
        <v>0.11280353007076069</v>
      </c>
    </row>
    <row r="35" spans="1:39" x14ac:dyDescent="0.25">
      <c r="B35" s="38" t="s">
        <v>4</v>
      </c>
      <c r="C35" s="35" t="str">
        <f>+'Fee Schedule'!C28</f>
        <v>Aluminum Food &amp; Beverage Cans</v>
      </c>
      <c r="D35" s="50">
        <v>3.3595047412156472E-2</v>
      </c>
      <c r="E35" s="50">
        <v>4.6243794286570133E-2</v>
      </c>
      <c r="F35" s="50">
        <v>0.23644570613490359</v>
      </c>
      <c r="H35" s="11">
        <f t="shared" si="5"/>
        <v>4184933.9320510854</v>
      </c>
      <c r="I35" s="11">
        <f t="shared" si="6"/>
        <v>3840391.9379820866</v>
      </c>
      <c r="K35" s="11">
        <f t="shared" si="7"/>
        <v>8761895.6029735003</v>
      </c>
      <c r="M35" s="12">
        <f t="shared" si="8"/>
        <v>8025325.870033172</v>
      </c>
      <c r="N35" s="12">
        <f t="shared" si="9"/>
        <v>8761895.6029735003</v>
      </c>
      <c r="O35" s="12">
        <f t="shared" si="10"/>
        <v>-736569.73294032831</v>
      </c>
      <c r="P35" s="25">
        <f t="shared" si="11"/>
        <v>-736569.73294032831</v>
      </c>
      <c r="R35" s="5">
        <v>531079.346775471</v>
      </c>
      <c r="T35" s="31"/>
      <c r="V35" s="9">
        <f t="shared" si="1"/>
        <v>-205490.38616485731</v>
      </c>
      <c r="W35" s="6">
        <f t="shared" si="12"/>
        <v>-0.82084185070771587</v>
      </c>
      <c r="X35" s="52">
        <v>9</v>
      </c>
      <c r="Y35" s="53">
        <v>0</v>
      </c>
      <c r="Z35" s="52"/>
      <c r="AA35" s="53"/>
      <c r="AB35" s="15">
        <f t="shared" si="13"/>
        <v>-207783.04659999997</v>
      </c>
      <c r="AC35" s="27">
        <f t="shared" si="14"/>
        <v>-0.83</v>
      </c>
      <c r="AD35" s="21"/>
      <c r="AE35" s="21"/>
      <c r="AG35" s="85">
        <f>+(-$AG$13)*AB35</f>
        <v>-11558.45355325092</v>
      </c>
      <c r="AH35" s="79"/>
      <c r="AI35" s="29">
        <f t="shared" si="3"/>
        <v>-0.87617083350243963</v>
      </c>
      <c r="AJ35" s="85">
        <f t="shared" si="4"/>
        <v>-219341.5001532509</v>
      </c>
      <c r="AL35" s="112">
        <v>25034.101999999999</v>
      </c>
      <c r="AM35" s="17">
        <v>0.54015921815166035</v>
      </c>
    </row>
    <row r="36" spans="1:39" x14ac:dyDescent="0.25">
      <c r="B36" s="40" t="s">
        <v>4</v>
      </c>
      <c r="C36" s="35" t="str">
        <f>+'Fee Schedule'!C29</f>
        <v>Other Aluminum Packaging</v>
      </c>
      <c r="D36" s="50">
        <v>5.0483840467842982E-3</v>
      </c>
      <c r="E36" s="50">
        <v>6.0204773725338939E-4</v>
      </c>
      <c r="F36" s="50">
        <v>3.0782855204236456E-3</v>
      </c>
      <c r="H36" s="11">
        <f t="shared" si="5"/>
        <v>628877.03179034835</v>
      </c>
      <c r="I36" s="11">
        <f t="shared" si="6"/>
        <v>49998.044323532966</v>
      </c>
      <c r="K36" s="11">
        <f t="shared" si="7"/>
        <v>114071.0770645517</v>
      </c>
      <c r="M36" s="12">
        <f t="shared" si="8"/>
        <v>678875.07611388131</v>
      </c>
      <c r="N36" s="12">
        <f t="shared" si="9"/>
        <v>114071.0770645517</v>
      </c>
      <c r="O36" s="12">
        <f t="shared" si="10"/>
        <v>564803.99904932966</v>
      </c>
      <c r="P36" s="25">
        <f t="shared" si="11"/>
        <v>564803.99904932966</v>
      </c>
      <c r="R36" s="5">
        <v>44924.846392962478</v>
      </c>
      <c r="T36" s="31"/>
      <c r="V36" s="9">
        <f t="shared" si="1"/>
        <v>609728.84544229216</v>
      </c>
      <c r="W36" s="6">
        <f t="shared" si="12"/>
        <v>16.207931653109558</v>
      </c>
      <c r="X36" s="52">
        <v>10</v>
      </c>
      <c r="Y36" s="53">
        <v>0</v>
      </c>
      <c r="Z36" s="52"/>
      <c r="AA36" s="53"/>
      <c r="AB36" s="15">
        <f t="shared" si="13"/>
        <v>609806.65492400003</v>
      </c>
      <c r="AC36" s="27">
        <f t="shared" si="14"/>
        <v>16.21</v>
      </c>
      <c r="AD36" s="21"/>
      <c r="AE36" s="21"/>
      <c r="AG36" s="85">
        <f t="shared" si="2"/>
        <v>-33922.025943585169</v>
      </c>
      <c r="AH36" s="79"/>
      <c r="AI36" s="29">
        <f t="shared" si="3"/>
        <v>15.308278058946328</v>
      </c>
      <c r="AJ36" s="85">
        <f t="shared" si="4"/>
        <v>575884.62898041483</v>
      </c>
      <c r="AL36" s="112">
        <v>3761.91644</v>
      </c>
      <c r="AM36" s="17">
        <v>4.679744392381318E-2</v>
      </c>
    </row>
    <row r="37" spans="1:39" x14ac:dyDescent="0.25">
      <c r="B37" s="38" t="s">
        <v>5</v>
      </c>
      <c r="C37" s="35" t="str">
        <f>+'Fee Schedule'!C30</f>
        <v>Clear Glass</v>
      </c>
      <c r="D37" s="50">
        <v>1.0403873854270723E-2</v>
      </c>
      <c r="E37" s="50">
        <v>2.1007567306299747E-2</v>
      </c>
      <c r="F37" s="50">
        <v>3.2275531737106955E-2</v>
      </c>
      <c r="H37" s="11">
        <f t="shared" si="5"/>
        <v>1296010.2179156845</v>
      </c>
      <c r="I37" s="11">
        <f t="shared" si="6"/>
        <v>1744607.9709588073</v>
      </c>
      <c r="K37" s="11">
        <f t="shared" si="7"/>
        <v>1196024.4245232395</v>
      </c>
      <c r="M37" s="12">
        <f t="shared" si="8"/>
        <v>3040618.1888744915</v>
      </c>
      <c r="N37" s="12">
        <f t="shared" si="9"/>
        <v>1196024.4245232395</v>
      </c>
      <c r="O37" s="12">
        <f t="shared" si="10"/>
        <v>1844593.764351252</v>
      </c>
      <c r="P37" s="25">
        <f t="shared" si="11"/>
        <v>1844593.764351252</v>
      </c>
      <c r="R37" s="5">
        <v>368480.4486056547</v>
      </c>
      <c r="T37" s="31"/>
      <c r="V37" s="9">
        <f t="shared" si="1"/>
        <v>2213074.2129569068</v>
      </c>
      <c r="W37" s="6">
        <f t="shared" si="12"/>
        <v>2.3806571798383578</v>
      </c>
      <c r="X37" s="52">
        <v>11</v>
      </c>
      <c r="Y37" s="53">
        <v>0</v>
      </c>
      <c r="Z37" s="52"/>
      <c r="AA37" s="53"/>
      <c r="AB37" s="15">
        <f t="shared" si="13"/>
        <v>2221759.3586179996</v>
      </c>
      <c r="AC37" s="27">
        <f t="shared" si="14"/>
        <v>2.3899999999999997</v>
      </c>
      <c r="AD37" s="21"/>
      <c r="AE37" s="21"/>
      <c r="AG37" s="85">
        <f t="shared" si="2"/>
        <v>-123590.94148101062</v>
      </c>
      <c r="AH37" s="79"/>
      <c r="AI37" s="29">
        <f t="shared" si="3"/>
        <v>2.2570502505170711</v>
      </c>
      <c r="AJ37" s="85">
        <f t="shared" si="4"/>
        <v>2098168.4171369891</v>
      </c>
      <c r="AL37" s="112">
        <v>92960.642619999999</v>
      </c>
      <c r="AM37" s="17">
        <v>0.79236316055300027</v>
      </c>
    </row>
    <row r="38" spans="1:39" x14ac:dyDescent="0.25">
      <c r="B38" s="40" t="s">
        <v>5</v>
      </c>
      <c r="C38" s="35" t="str">
        <f>+'Fee Schedule'!C31</f>
        <v>Coloured Glass</v>
      </c>
      <c r="D38" s="50">
        <v>2.8685390929586614E-3</v>
      </c>
      <c r="E38" s="50">
        <v>5.0750917933527753E-3</v>
      </c>
      <c r="F38" s="50">
        <v>6.8215566567042009E-3</v>
      </c>
      <c r="H38" s="11">
        <f t="shared" si="5"/>
        <v>357333.81882931432</v>
      </c>
      <c r="I38" s="11">
        <f t="shared" si="6"/>
        <v>421469.34325783304</v>
      </c>
      <c r="K38" s="11">
        <f t="shared" si="7"/>
        <v>252784.32098787886</v>
      </c>
      <c r="M38" s="12">
        <f t="shared" si="8"/>
        <v>778803.16208714736</v>
      </c>
      <c r="N38" s="12">
        <f t="shared" si="9"/>
        <v>252784.32098787886</v>
      </c>
      <c r="O38" s="12">
        <f t="shared" si="10"/>
        <v>526018.84109926852</v>
      </c>
      <c r="P38" s="25">
        <f t="shared" si="11"/>
        <v>526018.84109926852</v>
      </c>
      <c r="R38" s="5">
        <v>94380.063761836544</v>
      </c>
      <c r="T38" s="31"/>
      <c r="V38" s="9">
        <f t="shared" si="1"/>
        <v>620398.90486110502</v>
      </c>
      <c r="W38" s="6">
        <f t="shared" si="12"/>
        <v>2.4205062599027838</v>
      </c>
      <c r="X38" s="52">
        <v>12</v>
      </c>
      <c r="Y38" s="53">
        <v>0</v>
      </c>
      <c r="Z38" s="52"/>
      <c r="AA38" s="53"/>
      <c r="AB38" s="15">
        <f t="shared" si="13"/>
        <v>622832.24124899984</v>
      </c>
      <c r="AC38" s="27">
        <f t="shared" si="14"/>
        <v>2.4299999999999997</v>
      </c>
      <c r="AD38" s="21"/>
      <c r="AE38" s="21"/>
      <c r="AG38" s="85">
        <f t="shared" si="2"/>
        <v>-34646.606880311941</v>
      </c>
      <c r="AH38" s="79"/>
      <c r="AI38" s="29">
        <f t="shared" si="3"/>
        <v>2.2948251501073145</v>
      </c>
      <c r="AJ38" s="85">
        <f t="shared" si="4"/>
        <v>588185.63436868787</v>
      </c>
      <c r="AL38" s="112">
        <v>25630.956429999998</v>
      </c>
      <c r="AM38" s="17">
        <v>0.69426731302313827</v>
      </c>
    </row>
    <row r="39" spans="1:39" s="16" customFormat="1" x14ac:dyDescent="0.25">
      <c r="A39" s="33"/>
      <c r="B39" s="37"/>
      <c r="C39" s="7" t="s">
        <v>34</v>
      </c>
      <c r="D39" s="51">
        <f>+SUM(D16:D38)</f>
        <v>1</v>
      </c>
      <c r="E39" s="51">
        <f>+SUM(E16:E38)</f>
        <v>0.99999999999999989</v>
      </c>
      <c r="F39" s="51">
        <f>+SUM(F16:F38)</f>
        <v>1</v>
      </c>
      <c r="G39" s="33"/>
      <c r="H39" s="13">
        <f t="shared" ref="H39:P39" si="15">+SUM(H16:H38)</f>
        <v>124569966.54026912</v>
      </c>
      <c r="I39" s="13">
        <f t="shared" si="15"/>
        <v>83046644.360179424</v>
      </c>
      <c r="J39" s="33"/>
      <c r="K39" s="13">
        <f t="shared" si="15"/>
        <v>37056691.560194455</v>
      </c>
      <c r="L39" s="33"/>
      <c r="M39" s="13">
        <f t="shared" si="15"/>
        <v>207616610.9004485</v>
      </c>
      <c r="N39" s="13">
        <f t="shared" si="15"/>
        <v>37056691.560194455</v>
      </c>
      <c r="O39" s="13">
        <f t="shared" si="15"/>
        <v>170559919.34025401</v>
      </c>
      <c r="P39" s="26">
        <f t="shared" si="15"/>
        <v>170559919.34025401</v>
      </c>
      <c r="Q39" s="33"/>
      <c r="R39" s="10">
        <f>+SUM(R16:R38)</f>
        <v>8732635</v>
      </c>
      <c r="S39" s="33"/>
      <c r="T39" s="10">
        <f>+SUM(T16:T38)</f>
        <v>0</v>
      </c>
      <c r="U39" s="33"/>
      <c r="V39" s="10">
        <f>+SUM(V16:V38)</f>
        <v>179292554.3402541</v>
      </c>
      <c r="W39" s="8"/>
      <c r="X39" s="8"/>
      <c r="Y39" s="8"/>
      <c r="Z39" s="8"/>
      <c r="AA39" s="8"/>
      <c r="AB39" s="10">
        <f>+SUM(AB16:AB38)</f>
        <v>179351602.27644673</v>
      </c>
      <c r="AC39" s="8"/>
      <c r="AD39" s="30">
        <f>+SUM(AD16:AD38)</f>
        <v>3007688.1442926894</v>
      </c>
      <c r="AE39" s="7"/>
      <c r="AG39" s="85">
        <f>+SUM(AG16:AG38)</f>
        <v>-10000000.000000002</v>
      </c>
      <c r="AI39" s="7"/>
      <c r="AJ39" s="30">
        <f>+SUM(AJ16:AJ38)</f>
        <v>169351602.27644679</v>
      </c>
      <c r="AL39" s="113">
        <f>+SUM(AL16:AL38)</f>
        <v>929753.93409000011</v>
      </c>
      <c r="AM39" s="114">
        <v>0.59916369666585756</v>
      </c>
    </row>
    <row r="40" spans="1:39" x14ac:dyDescent="0.25">
      <c r="P40" s="77"/>
      <c r="R40" s="77"/>
      <c r="V40" s="81"/>
      <c r="AB40" s="74"/>
      <c r="AC40" s="81"/>
      <c r="AG40" s="86"/>
      <c r="AJ40" s="116"/>
      <c r="AL40" s="72"/>
    </row>
    <row r="41" spans="1:39" x14ac:dyDescent="0.25">
      <c r="AB41" s="81"/>
    </row>
    <row r="42" spans="1:39" x14ac:dyDescent="0.25">
      <c r="AB42" s="72"/>
    </row>
    <row r="43" spans="1:39" x14ac:dyDescent="0.25">
      <c r="AB43" s="97"/>
    </row>
  </sheetData>
  <sheetProtection algorithmName="SHA-512" hashValue="FnrUm1vmkQWg07N7PB5B1meH4VWJrEKhx4tIwvu4+NCYOgOQhDsEc/vbW4tafskKpG9YjfxNxqPhlOoc3g3t2g==" saltValue="+rN5JtNHGApcxrYX/NBgWg==" spinCount="100000" sheet="1" objects="1" scenarios="1"/>
  <pageMargins left="0.7" right="0.7" top="0.75" bottom="0.75" header="0.3" footer="0.3"/>
  <pageSetup scale="52" fitToWidth="2" orientation="landscape" r:id="rId1"/>
  <headerFooter>
    <oddHeader>&amp;A</oddHeader>
    <oddFooter>Page &amp;P of &amp;N</oddFooter>
  </headerFooter>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Fee Schedule</vt:lpstr>
      <vt:lpstr>Introduction</vt:lpstr>
      <vt:lpstr>Glossary</vt:lpstr>
      <vt:lpstr>Fee Methodology</vt:lpstr>
      <vt:lpstr>Model</vt:lpstr>
      <vt:lpstr>Model!Print_Area</vt:lpstr>
      <vt:lpstr>Model!Print_Titles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Fernandez</dc:creator>
  <cp:lastModifiedBy>Daniela Fernandez</cp:lastModifiedBy>
  <cp:lastPrinted>2016-10-24T13:39:06Z</cp:lastPrinted>
  <dcterms:created xsi:type="dcterms:W3CDTF">2016-06-07T15:15:31Z</dcterms:created>
  <dcterms:modified xsi:type="dcterms:W3CDTF">2021-11-01T15:54:06Z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2017 4-Step Fee Model ON - SAMPLE for WDO.xlsx</vt:lpwstr>
  </property>
</Properties>
</file>