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65" windowWidth="12120" windowHeight="6780" tabRatio="778" activeTab="5"/>
  </bookViews>
  <sheets>
    <sheet name="Parameters" sheetId="1" r:id="rId1"/>
    <sheet name="Inputs" sheetId="2" r:id="rId2"/>
    <sheet name="Sheet 1 Gen &amp; Rec" sheetId="3" r:id="rId3"/>
    <sheet name="Sheet 2 Gross &amp; Net Costs" sheetId="4" r:id="rId4"/>
    <sheet name="Sheet 3 Disaggregated Fees" sheetId="5" r:id="rId5"/>
    <sheet name="Sheet 4 Fee Schedule" sheetId="6" r:id="rId6"/>
    <sheet name="Fee schedule - steward rules" sheetId="7" r:id="rId7"/>
    <sheet name="Historic Fee Rates" sheetId="8" r:id="rId8"/>
    <sheet name="Fee Comparison Graph" sheetId="9" r:id="rId9"/>
    <sheet name="Graph Data" sheetId="10" r:id="rId10"/>
  </sheets>
  <definedNames>
    <definedName name="_xlnm.Print_Area" localSheetId="6">'Fee schedule - steward rules'!#REF!</definedName>
    <definedName name="_xlnm.Print_Area" localSheetId="2">'Sheet 1 Gen &amp; Rec'!$A$1:$O$46</definedName>
    <definedName name="_xlnm.Print_Area" localSheetId="3">'Sheet 2 Gross &amp; Net Costs'!$A$1:$S$46</definedName>
    <definedName name="_xlnm.Print_Area" localSheetId="4">'Sheet 3 Disaggregated Fees'!$A$1:$AA$41</definedName>
    <definedName name="_xlnm.Print_Area" localSheetId="5">'Sheet 4 Fee Schedule'!$A$1:$I$44</definedName>
    <definedName name="_xlnm.Print_Titles" localSheetId="4">'Sheet 3 Disaggregated Fees'!$A:$B</definedName>
  </definedNames>
  <calcPr fullCalcOnLoad="1"/>
</workbook>
</file>

<file path=xl/comments1.xml><?xml version="1.0" encoding="utf-8"?>
<comments xmlns="http://schemas.openxmlformats.org/spreadsheetml/2006/main">
  <authors>
    <author>Dan Lantz</author>
  </authors>
  <commentList>
    <comment ref="A11" authorId="0">
      <text>
        <r>
          <rPr>
            <b/>
            <sz val="8"/>
            <rFont val="Tahoma"/>
            <family val="2"/>
          </rPr>
          <t>This is allocated obligation to stewards using packaging. It is based on the net cost for the management of all packaging.</t>
        </r>
        <r>
          <rPr>
            <sz val="8"/>
            <rFont val="Tahoma"/>
            <family val="2"/>
          </rPr>
          <t xml:space="preserve">
</t>
        </r>
      </text>
    </comment>
    <comment ref="A10" authorId="0">
      <text>
        <r>
          <rPr>
            <b/>
            <sz val="8"/>
            <rFont val="Tahoma"/>
            <family val="2"/>
          </rPr>
          <t>This is allocated obligation to stewards using printed paper. It is based on the net cost for the management of printed paper.</t>
        </r>
        <r>
          <rPr>
            <sz val="8"/>
            <rFont val="Tahoma"/>
            <family val="2"/>
          </rPr>
          <t xml:space="preserve">
</t>
        </r>
      </text>
    </comment>
    <comment ref="A7" authorId="0">
      <text>
        <r>
          <rPr>
            <b/>
            <sz val="8"/>
            <rFont val="Tahoma"/>
            <family val="2"/>
          </rPr>
          <t>This shows the dollar value assigned to the Effectiveness and Efficiency Fund.</t>
        </r>
      </text>
    </comment>
  </commentList>
</comments>
</file>

<file path=xl/comments3.xml><?xml version="1.0" encoding="utf-8"?>
<comments xmlns="http://schemas.openxmlformats.org/spreadsheetml/2006/main">
  <authors>
    <author>Dan Lantz</author>
  </authors>
  <commentList>
    <comment ref="C4" authorId="0">
      <text>
        <r>
          <rPr>
            <b/>
            <sz val="8"/>
            <rFont val="Tahoma"/>
            <family val="2"/>
          </rPr>
          <t>This is the quantity of Blue Box Waste generated adjusted for population and waste generation growth based on the latest waste composition data and stewards reports.</t>
        </r>
      </text>
    </comment>
    <comment ref="E4" authorId="0">
      <text>
        <r>
          <rPr>
            <b/>
            <sz val="8"/>
            <rFont val="Tahoma"/>
            <family val="2"/>
          </rPr>
          <t>This is the quantity of Blue Box Waste recovered as reported from the approved WDO datacall with some additional allocations to material categories.</t>
        </r>
      </text>
    </comment>
  </commentList>
</comments>
</file>

<file path=xl/comments4.xml><?xml version="1.0" encoding="utf-8"?>
<comments xmlns="http://schemas.openxmlformats.org/spreadsheetml/2006/main">
  <authors>
    <author>dlantz</author>
    <author>Guy Perry</author>
  </authors>
  <commentList>
    <comment ref="A1" authorId="0">
      <text>
        <r>
          <rPr>
            <b/>
            <sz val="8"/>
            <rFont val="Tahoma"/>
            <family val="2"/>
          </rPr>
          <t>This first part of the table presents the gross cost, revenues and net cost per tonne for each blue box material, including the total estimated industry obligation.
The second part of the table shows the "cost" for the management of all blue box materials, assuming all are recovered to the same percentage.</t>
        </r>
        <r>
          <rPr>
            <sz val="8"/>
            <rFont val="Tahoma"/>
            <family val="2"/>
          </rPr>
          <t xml:space="preserve">
</t>
        </r>
      </text>
    </comment>
    <comment ref="J4" authorId="0">
      <text>
        <r>
          <rPr>
            <b/>
            <sz val="8"/>
            <rFont val="Tahoma"/>
            <family val="2"/>
          </rPr>
          <t>This section calculates the net cost for the management of each blue box materials and the net cost as a percentage of the total system.
At this point, the printed materials are separated from the packaging materials and the costs restated as a percentage of their respective main category (e.g., newspaper as a percentage of printed paper; corrugated containers as a percentage of packaging, etc.).</t>
        </r>
        <r>
          <rPr>
            <sz val="8"/>
            <rFont val="Tahoma"/>
            <family val="2"/>
          </rPr>
          <t xml:space="preserve">
</t>
        </r>
      </text>
    </comment>
    <comment ref="P4" authorId="0">
      <text>
        <r>
          <rPr>
            <b/>
            <sz val="8"/>
            <rFont val="Tahoma"/>
            <family val="2"/>
          </rPr>
          <t>This section shows the estimated cost that would be incurred by municipalities if they were to recover recyclables to the recovery rate.
It is based on the net cost per tonne multiplied by the total quantity of additional material required to achieve the set diversion rate.</t>
        </r>
      </text>
    </comment>
    <comment ref="J5" authorId="0">
      <text>
        <r>
          <rPr>
            <b/>
            <sz val="8"/>
            <rFont val="Tahoma"/>
            <family val="2"/>
          </rPr>
          <t xml:space="preserve">Represents the net cost per tonne (gross cost minus revenues). </t>
        </r>
        <r>
          <rPr>
            <b/>
            <sz val="8"/>
            <rFont val="Tahoma"/>
            <family val="2"/>
          </rPr>
          <t>Bracketed numbers mean revenues exceeded costs.</t>
        </r>
      </text>
    </comment>
    <comment ref="K5" authorId="0">
      <text>
        <r>
          <rPr>
            <b/>
            <sz val="8"/>
            <rFont val="Tahoma"/>
            <family val="2"/>
          </rPr>
          <t xml:space="preserve">Represents the total net cost for the management of each material. </t>
        </r>
        <r>
          <rPr>
            <b/>
            <sz val="8"/>
            <rFont val="Tahoma"/>
            <family val="2"/>
          </rPr>
          <t>Bracketed numbers mean revenues exceeded costs.</t>
        </r>
      </text>
    </comment>
    <comment ref="L5" authorId="0">
      <text>
        <r>
          <rPr>
            <b/>
            <sz val="8"/>
            <rFont val="Tahoma"/>
            <family val="2"/>
          </rPr>
          <t>Shows the percentage each material represents of the total net cost for managing all materials.</t>
        </r>
        <r>
          <rPr>
            <sz val="8"/>
            <rFont val="Tahoma"/>
            <family val="2"/>
          </rPr>
          <t xml:space="preserve">
</t>
        </r>
      </text>
    </comment>
    <comment ref="M5" authorId="0">
      <text>
        <r>
          <rPr>
            <b/>
            <sz val="8"/>
            <rFont val="Tahoma"/>
            <family val="2"/>
          </rPr>
          <t>Shows the percentage each printed material represents of the total net cost for managing all printed materials.</t>
        </r>
        <r>
          <rPr>
            <sz val="8"/>
            <rFont val="Tahoma"/>
            <family val="2"/>
          </rPr>
          <t xml:space="preserve">
</t>
        </r>
      </text>
    </comment>
    <comment ref="N5" authorId="0">
      <text>
        <r>
          <rPr>
            <b/>
            <sz val="8"/>
            <rFont val="Tahoma"/>
            <family val="2"/>
          </rPr>
          <t>Shows the percentage each packaging material represents of the total net cost for managing all packaging materials.</t>
        </r>
      </text>
    </comment>
    <comment ref="P5" authorId="0">
      <text>
        <r>
          <rPr>
            <b/>
            <sz val="8"/>
            <rFont val="Tahoma"/>
            <family val="2"/>
          </rPr>
          <t>Based on net cost per tonne multiplied by the total number of tonnes of material still required to be diverted to achieve the recovery rate.</t>
        </r>
        <r>
          <rPr>
            <sz val="8"/>
            <rFont val="Tahoma"/>
            <family val="2"/>
          </rPr>
          <t xml:space="preserve">
</t>
        </r>
      </text>
    </comment>
    <comment ref="Q5" authorId="0">
      <text>
        <r>
          <rPr>
            <b/>
            <sz val="8"/>
            <rFont val="Tahoma"/>
            <family val="2"/>
          </rPr>
          <t>Shows the percentage each material represents of the total net cost.</t>
        </r>
      </text>
    </comment>
    <comment ref="R5" authorId="0">
      <text>
        <r>
          <rPr>
            <b/>
            <sz val="8"/>
            <rFont val="Tahoma"/>
            <family val="2"/>
          </rPr>
          <t>Shows the percentage each printed material represents of the total net cost for managing all printed materials to the recovery rate.</t>
        </r>
      </text>
    </comment>
    <comment ref="S5" authorId="0">
      <text>
        <r>
          <rPr>
            <b/>
            <sz val="8"/>
            <rFont val="Tahoma"/>
            <family val="2"/>
          </rPr>
          <t>Shows the percentage each packaging material represents of the total net cost for managing all packaging materials to the recovery rate entered.</t>
        </r>
        <r>
          <rPr>
            <sz val="8"/>
            <rFont val="Tahoma"/>
            <family val="2"/>
          </rPr>
          <t xml:space="preserve">
</t>
        </r>
      </text>
    </comment>
    <comment ref="K43" authorId="0">
      <text>
        <r>
          <rPr>
            <b/>
            <sz val="8"/>
            <rFont val="Tahoma"/>
            <family val="2"/>
          </rPr>
          <t>This represents industry's allocation of the net costs against which stewards' fees will be calculated.</t>
        </r>
        <r>
          <rPr>
            <sz val="8"/>
            <rFont val="Tahoma"/>
            <family val="2"/>
          </rPr>
          <t xml:space="preserve">
</t>
        </r>
      </text>
    </comment>
    <comment ref="D5" authorId="1">
      <text>
        <r>
          <rPr>
            <b/>
            <sz val="8"/>
            <rFont val="Tahoma"/>
            <family val="2"/>
          </rPr>
          <t>These per-tonne figures are determined by calibrating the unit costs from the cost allocation studies to the approved gross system cost.</t>
        </r>
      </text>
    </comment>
    <comment ref="G5" authorId="1">
      <text>
        <r>
          <rPr>
            <b/>
            <sz val="8"/>
            <rFont val="Tahoma"/>
            <family val="2"/>
          </rPr>
          <t>These prices have been calibrated to the 3-year average reported revenue accounting for negative prices.</t>
        </r>
      </text>
    </comment>
  </commentList>
</comments>
</file>

<file path=xl/comments5.xml><?xml version="1.0" encoding="utf-8"?>
<comments xmlns="http://schemas.openxmlformats.org/spreadsheetml/2006/main">
  <authors>
    <author>Dan Lantz</author>
  </authors>
  <commentList>
    <comment ref="A1" authorId="0">
      <text>
        <r>
          <rPr>
            <b/>
            <sz val="8"/>
            <rFont val="Tahoma"/>
            <family val="2"/>
          </rPr>
          <t>This table calculates the base fees (based on the Recovery Rate, Net Cost and Equalization Factors) and the fees associated with common costs.</t>
        </r>
        <r>
          <rPr>
            <sz val="8"/>
            <rFont val="Tahoma"/>
            <family val="2"/>
          </rPr>
          <t xml:space="preserve">
</t>
        </r>
      </text>
    </comment>
    <comment ref="G3" authorId="0">
      <text>
        <r>
          <rPr>
            <b/>
            <sz val="8"/>
            <rFont val="Tahoma"/>
            <family val="2"/>
          </rPr>
          <t>The fees under this factor are allocated based on the percentage each material represents of the total net cost for the management of the blue box system as shown on the Gross &amp; Net Costs worksheet.</t>
        </r>
        <r>
          <rPr>
            <sz val="8"/>
            <rFont val="Tahoma"/>
            <family val="2"/>
          </rPr>
          <t xml:space="preserve">
</t>
        </r>
      </text>
    </comment>
    <comment ref="J3" authorId="0">
      <text>
        <r>
          <rPr>
            <b/>
            <sz val="8"/>
            <rFont val="Tahoma"/>
            <family val="2"/>
          </rPr>
          <t>The fees under this factor are allocated based on the percentage each material represents of the total additional net cost for the management of the blue box system at the assigned recovery rate as shown on the Gross &amp; Net Costs worksheet.</t>
        </r>
        <r>
          <rPr>
            <sz val="8"/>
            <rFont val="Tahoma"/>
            <family val="2"/>
          </rPr>
          <t xml:space="preserve">
</t>
        </r>
      </text>
    </comment>
    <comment ref="C4" authorId="0">
      <text>
        <r>
          <rPr>
            <b/>
            <sz val="8"/>
            <rFont val="Tahoma"/>
            <family val="2"/>
          </rPr>
          <t>The data in this column are used to determine the fees assigned under this factor. They represent the recovery rate for each material subtracted from a value of 100% (equivalent to the percentage NOT recovered).</t>
        </r>
        <r>
          <rPr>
            <sz val="8"/>
            <rFont val="Tahoma"/>
            <family val="2"/>
          </rPr>
          <t xml:space="preserve">
</t>
        </r>
      </text>
    </comment>
    <comment ref="E4" authorId="0">
      <text>
        <r>
          <rPr>
            <b/>
            <sz val="8"/>
            <rFont val="Tahoma"/>
            <family val="2"/>
          </rPr>
          <t>This shows the fees that are assigned to each material through the application of this factor.</t>
        </r>
        <r>
          <rPr>
            <sz val="8"/>
            <rFont val="Tahoma"/>
            <family val="2"/>
          </rPr>
          <t xml:space="preserve">
</t>
        </r>
      </text>
    </comment>
    <comment ref="H4" authorId="0">
      <text>
        <r>
          <rPr>
            <b/>
            <sz val="8"/>
            <rFont val="Tahoma"/>
            <family val="2"/>
          </rPr>
          <t>This shows the fees that are assigned to each material through the application of this factor.</t>
        </r>
        <r>
          <rPr>
            <sz val="8"/>
            <rFont val="Tahoma"/>
            <family val="2"/>
          </rPr>
          <t xml:space="preserve">
</t>
        </r>
      </text>
    </comment>
    <comment ref="K4" authorId="0">
      <text>
        <r>
          <rPr>
            <b/>
            <sz val="8"/>
            <rFont val="Tahoma"/>
            <family val="2"/>
          </rPr>
          <t>This shows the fees that are assigned to each material through the application of this factor.</t>
        </r>
        <r>
          <rPr>
            <sz val="8"/>
            <rFont val="Tahoma"/>
            <family val="2"/>
          </rPr>
          <t xml:space="preserve">
</t>
        </r>
      </text>
    </comment>
    <comment ref="M4" authorId="0">
      <text>
        <r>
          <rPr>
            <b/>
            <sz val="8"/>
            <rFont val="Tahoma"/>
            <family val="2"/>
          </rPr>
          <t>This represents the total of the fees assigned under each of the three factors.</t>
        </r>
        <r>
          <rPr>
            <sz val="8"/>
            <rFont val="Tahoma"/>
            <family val="2"/>
          </rPr>
          <t xml:space="preserve">
</t>
        </r>
      </text>
    </comment>
    <comment ref="N4" authorId="0">
      <text>
        <r>
          <rPr>
            <b/>
            <sz val="8"/>
            <rFont val="Tahoma"/>
            <family val="2"/>
          </rPr>
          <t>Represents the Combined Base Allocated Fees divided by the total tonnes supplied (by material).</t>
        </r>
      </text>
    </comment>
    <comment ref="P4" authorId="0">
      <text>
        <r>
          <rPr>
            <b/>
            <sz val="8"/>
            <rFont val="Tahoma"/>
            <family val="2"/>
          </rPr>
          <t>Represents the sum of the base allocated fees and all other program fees allocated to each material.</t>
        </r>
      </text>
    </comment>
    <comment ref="Q4" authorId="0">
      <text>
        <r>
          <rPr>
            <b/>
            <sz val="8"/>
            <rFont val="Tahoma"/>
            <family val="2"/>
          </rPr>
          <t>Allocate any acceptable in kind service credited dollars to the appropriate material(s).</t>
        </r>
        <r>
          <rPr>
            <sz val="8"/>
            <rFont val="Tahoma"/>
            <family val="2"/>
          </rPr>
          <t xml:space="preserve">
</t>
        </r>
      </text>
    </comment>
    <comment ref="R4" authorId="0">
      <text>
        <r>
          <rPr>
            <b/>
            <sz val="8"/>
            <rFont val="Tahoma"/>
            <family val="2"/>
          </rPr>
          <t>This represents the net allocation to each material after subtracting in-kind credits.</t>
        </r>
      </text>
    </comment>
    <comment ref="Z4" authorId="0">
      <text>
        <r>
          <rPr>
            <b/>
            <sz val="8"/>
            <rFont val="Tahoma"/>
            <family val="2"/>
          </rPr>
          <t>This is the final fee, shown in dollars per tonne and in cents per kilogram, for each material.</t>
        </r>
        <r>
          <rPr>
            <sz val="8"/>
            <rFont val="Tahoma"/>
            <family val="2"/>
          </rPr>
          <t xml:space="preserve">
</t>
        </r>
      </text>
    </comment>
    <comment ref="C6" authorId="0">
      <text>
        <r>
          <rPr>
            <b/>
            <sz val="8"/>
            <rFont val="Tahoma"/>
            <family val="2"/>
          </rPr>
          <t xml:space="preserve">Part of the total obligation to municipalities is allocated through the Recovery Rate Factor. </t>
        </r>
        <r>
          <rPr>
            <b/>
            <sz val="8"/>
            <rFont val="Tahoma"/>
            <family val="2"/>
          </rPr>
          <t>The percentage can be adjusted to show how changing the weight given to Recovery Rate affects the fees paid by material type.</t>
        </r>
      </text>
    </comment>
    <comment ref="G6" authorId="0">
      <text>
        <r>
          <rPr>
            <b/>
            <sz val="8"/>
            <rFont val="Tahoma"/>
            <family val="2"/>
          </rPr>
          <t>Part of the total obligation to municipalities is allocated through the Net Cost Factor. The percentage can be adjusted to show how changing the weight given to Net Cost affects the fees paid by material type.</t>
        </r>
      </text>
    </comment>
    <comment ref="J6" authorId="0">
      <text>
        <r>
          <rPr>
            <b/>
            <sz val="8"/>
            <rFont val="Tahoma"/>
            <family val="2"/>
          </rPr>
          <t>Part of the total obligation to municipalities is allocated through the Equalization Factor. The percentage can be adjusted to show how changing the weight given to Equalization affects the fees paid by material type.</t>
        </r>
        <r>
          <rPr>
            <sz val="8"/>
            <rFont val="Tahoma"/>
            <family val="2"/>
          </rPr>
          <t xml:space="preserve">
</t>
        </r>
      </text>
    </comment>
    <comment ref="B40" authorId="0">
      <text>
        <r>
          <rPr>
            <b/>
            <sz val="8"/>
            <rFont val="Tahoma"/>
            <family val="2"/>
          </rPr>
          <t>Allocations to printed paper are based on percentage that printed paper represents of the net cost for the management of all materials in the blue box program.</t>
        </r>
        <r>
          <rPr>
            <sz val="8"/>
            <rFont val="Tahoma"/>
            <family val="2"/>
          </rPr>
          <t xml:space="preserve">
</t>
        </r>
      </text>
    </comment>
    <comment ref="B41" authorId="0">
      <text>
        <r>
          <rPr>
            <b/>
            <sz val="8"/>
            <rFont val="Tahoma"/>
            <family val="2"/>
          </rPr>
          <t>Allocations to packaging are based on percentage that packaging represents of the net cost for the management of all materials in the blue box program.</t>
        </r>
        <r>
          <rPr>
            <sz val="8"/>
            <rFont val="Tahoma"/>
            <family val="2"/>
          </rPr>
          <t xml:space="preserve">
</t>
        </r>
      </text>
    </comment>
  </commentList>
</comments>
</file>

<file path=xl/sharedStrings.xml><?xml version="1.0" encoding="utf-8"?>
<sst xmlns="http://schemas.openxmlformats.org/spreadsheetml/2006/main" count="412" uniqueCount="203">
  <si>
    <t>Printed Paper</t>
  </si>
  <si>
    <t>Telephone Books</t>
  </si>
  <si>
    <t>Other Printed Paper</t>
  </si>
  <si>
    <t>Magazines and Catalogues</t>
  </si>
  <si>
    <t>Paper Packaging</t>
  </si>
  <si>
    <t>Aseptic Containers</t>
  </si>
  <si>
    <t>Plastic Film</t>
  </si>
  <si>
    <t>Polystyrene</t>
  </si>
  <si>
    <t>Other Plastics</t>
  </si>
  <si>
    <t>Aluminum</t>
  </si>
  <si>
    <t>Glass</t>
  </si>
  <si>
    <t>Revenues</t>
  </si>
  <si>
    <t>Net Cost</t>
  </si>
  <si>
    <t>Total</t>
  </si>
  <si>
    <t>Weight</t>
  </si>
  <si>
    <t>Material</t>
  </si>
  <si>
    <t>Industry Allocation</t>
  </si>
  <si>
    <t>($/tonne)</t>
  </si>
  <si>
    <t>Weight for Factor</t>
  </si>
  <si>
    <t>Category</t>
  </si>
  <si>
    <t>Total Cost</t>
  </si>
  <si>
    <t>Paper Pack'g Total</t>
  </si>
  <si>
    <t>Plastics Total</t>
  </si>
  <si>
    <t>Aluminum Total</t>
  </si>
  <si>
    <t>Glass Total</t>
  </si>
  <si>
    <t>Printed Paper Total</t>
  </si>
  <si>
    <t>TOTALS</t>
  </si>
  <si>
    <t>Recovery Rate</t>
  </si>
  <si>
    <t>Packaging</t>
  </si>
  <si>
    <t>ONP In Kind Contribution</t>
  </si>
  <si>
    <t>Net Cost Factor</t>
  </si>
  <si>
    <t>Equalization Factor</t>
  </si>
  <si>
    <t>Paper Packaging Total</t>
  </si>
  <si>
    <t>PACKAGING</t>
  </si>
  <si>
    <t>PRINTED PAPER</t>
  </si>
  <si>
    <t>PACKAGING TOTAL</t>
  </si>
  <si>
    <t>Steel</t>
  </si>
  <si>
    <t>Net Cost of Current System</t>
  </si>
  <si>
    <t>Factor Allocation to Printed Paper</t>
  </si>
  <si>
    <t>Factor Allocation to Packaging</t>
  </si>
  <si>
    <t>Allocated Printed Paper Cost</t>
  </si>
  <si>
    <t>Allocated Packaging Cost</t>
  </si>
  <si>
    <t xml:space="preserve">Paper Based </t>
  </si>
  <si>
    <t>Plastic Packaging</t>
  </si>
  <si>
    <t>Steel Packaging</t>
  </si>
  <si>
    <t>Aluminum Packaging</t>
  </si>
  <si>
    <t>Glass Packaging</t>
  </si>
  <si>
    <t>Steel Total</t>
  </si>
  <si>
    <t>Paper Based Packaging</t>
  </si>
  <si>
    <t>Other</t>
  </si>
  <si>
    <t>Density</t>
  </si>
  <si>
    <t>Volume</t>
  </si>
  <si>
    <t>Plastics Packaging</t>
  </si>
  <si>
    <t>Coloured Glass</t>
  </si>
  <si>
    <t>Recovery Rate Factor (1)</t>
  </si>
  <si>
    <t>m3</t>
  </si>
  <si>
    <t>kg/m3</t>
  </si>
  <si>
    <t>Allocation of Stewards Within Material Categories</t>
  </si>
  <si>
    <t>(tonnes)</t>
  </si>
  <si>
    <t>Assumed Recovery Rate</t>
  </si>
  <si>
    <t>Contributions</t>
  </si>
  <si>
    <t>Costs Allocated to Material Categories</t>
  </si>
  <si>
    <t>(cents/kg)</t>
  </si>
  <si>
    <t>Quantity Generated</t>
  </si>
  <si>
    <t>Newsprint - Non-CNA/OCNA</t>
  </si>
  <si>
    <t>Table 1:  Generation and Recovery (full-year obligation)</t>
  </si>
  <si>
    <t>Table 2:  Gross and Net Costs (full-year obligation)</t>
  </si>
  <si>
    <t>%'age of Generated</t>
  </si>
  <si>
    <t>Quantity Recovered</t>
  </si>
  <si>
    <t>Quantity to Disposal</t>
  </si>
  <si>
    <t>% of Total Disposed</t>
  </si>
  <si>
    <t>Per-tonne</t>
  </si>
  <si>
    <t>Total Revenue</t>
  </si>
  <si>
    <t>Total Net Cost</t>
  </si>
  <si>
    <t>%'age of Net $</t>
  </si>
  <si>
    <t>%'age of Printed Cost</t>
  </si>
  <si>
    <t>%'age of Pckg Cost</t>
  </si>
  <si>
    <t>Recovery Rate Allocated Fee</t>
  </si>
  <si>
    <t>Net Cost Allocated Fee</t>
  </si>
  <si>
    <t>Equalization Allocated Fee</t>
  </si>
  <si>
    <t>Combined Base Allocated Fees</t>
  </si>
  <si>
    <t>Total - Base + All Program + Start-up + Admin Fees</t>
  </si>
  <si>
    <t>Other Aluminum Packaging</t>
  </si>
  <si>
    <t>Newsprint - CNA/OCNA</t>
  </si>
  <si>
    <t>Percentage of Stewards</t>
  </si>
  <si>
    <t>Gross Cost</t>
  </si>
  <si>
    <t>Recovery Rate Factor Weighting</t>
  </si>
  <si>
    <t>Net Cost Factor Weighting</t>
  </si>
  <si>
    <t>Equalization Factor Weighting</t>
  </si>
  <si>
    <t>Diversion Target</t>
  </si>
  <si>
    <t>%</t>
  </si>
  <si>
    <t>Total Stewards</t>
  </si>
  <si>
    <t>Tonnes Disposed</t>
  </si>
  <si>
    <t>Model Inputs</t>
  </si>
  <si>
    <t>Steel Food &amp; Beverage Cans</t>
  </si>
  <si>
    <t>Steel Aerosols</t>
  </si>
  <si>
    <t>Steel Paint Cans</t>
  </si>
  <si>
    <t>Aluminum Food &amp; Beverage Cans</t>
  </si>
  <si>
    <t>Material Categories</t>
  </si>
  <si>
    <t>Notes</t>
  </si>
  <si>
    <t>(%)</t>
  </si>
  <si>
    <t>Gross Cost (Sheet2)</t>
  </si>
  <si>
    <t>Gross Revenue (Sheet 2)</t>
  </si>
  <si>
    <t>Net Total - Base + All Program + Start Up + Admin Fees, Less in-kind</t>
  </si>
  <si>
    <t>Basis for Distribution for Common Costs</t>
  </si>
  <si>
    <t>Factor Weightings Sheet 3</t>
  </si>
  <si>
    <t>Obligation Estimation (Sheet 3)</t>
  </si>
  <si>
    <t>Extent of Aggregation of Fee Rates</t>
  </si>
  <si>
    <t>Table 3:  Fee Schedule By Material Type (full-year obligation)</t>
  </si>
  <si>
    <t>Clear Glass</t>
  </si>
  <si>
    <t>1.  CNA/OCNA newsprint fee rates presented in this table include the full municipal obligation paid as an in-kind contribution</t>
  </si>
  <si>
    <t xml:space="preserve">2. Aggregation of printed paper is as follows: </t>
  </si>
  <si>
    <t>Basis of Initial Allocation of Common Costs (Sheets 1 &amp; 3)</t>
  </si>
  <si>
    <t>CNA/OCNA in-kind contribution</t>
  </si>
  <si>
    <t>Municipal Obligation</t>
  </si>
  <si>
    <t>Common Costs (less credit)</t>
  </si>
  <si>
    <t>Cost to Manage Rest of 60%</t>
  </si>
  <si>
    <t>%'age Cost of Tonnes to 60%</t>
  </si>
  <si>
    <t>Fully Disaggregated Material Fee Rate
(In-Kind Not Included)</t>
  </si>
  <si>
    <t>Fully Disaggregated Material Fee Rate
(In-Kind Included)</t>
  </si>
  <si>
    <t>Common</t>
  </si>
  <si>
    <t>In-Kind</t>
  </si>
  <si>
    <t>Aggregated (cents/kg)</t>
  </si>
  <si>
    <t>Allocated CIF Funds</t>
  </si>
  <si>
    <t>2009 Fees</t>
  </si>
  <si>
    <t>Generation
(Sheet 1)</t>
  </si>
  <si>
    <t>Recovery
(Sheet 1)</t>
  </si>
  <si>
    <t>2010 Fees</t>
  </si>
  <si>
    <t>2011 Fees</t>
  </si>
  <si>
    <t>Percentage of Costs at 60% Recovery Rate</t>
  </si>
  <si>
    <t>Total Fees
(In-Kind Included)</t>
  </si>
  <si>
    <t>2012 Fees</t>
  </si>
  <si>
    <t>Total Fees (In-Kind Not Included)</t>
  </si>
  <si>
    <t>Corrugated Cardboard</t>
  </si>
  <si>
    <t>Gable Top Cartons</t>
  </si>
  <si>
    <t>Boxboard</t>
  </si>
  <si>
    <t>PET Bottles</t>
  </si>
  <si>
    <t>HDPE Bottles</t>
  </si>
  <si>
    <t>Plastic</t>
  </si>
  <si>
    <t>2013 Fees</t>
  </si>
  <si>
    <t>CNA/OCNA newsprint fee rates presented in this table cover the CNA/OCNA share of common costs and paid in cash</t>
  </si>
  <si>
    <t>A separate line below the table shows the in-kind contribution by CNA/OCNA</t>
  </si>
  <si>
    <t>2003 Fees</t>
  </si>
  <si>
    <t>2004 Fees</t>
  </si>
  <si>
    <t>2005 Fees</t>
  </si>
  <si>
    <t>2006 Fees</t>
  </si>
  <si>
    <t>2007 Fees</t>
  </si>
  <si>
    <t>2008 Fees</t>
  </si>
  <si>
    <t>(% disaggregated)</t>
  </si>
  <si>
    <t>Disaggregated (cents/kg)</t>
  </si>
  <si>
    <t>In Kind Credited $</t>
  </si>
  <si>
    <t>- Separate categories for 1) CNA/OCNA newsprint, 2) other newsprint and 3) magazines, telephone books and other printed paper</t>
  </si>
  <si>
    <t>- The fees for each of the newsprint categories are composed of two parts 1) a disaggregated part, and 2) an aggregated part</t>
  </si>
  <si>
    <t>- Similarly, the fee rate for magazines, telephone books and other printed paper is composed of two parts 1) a disaggregated part, and 2) an aggregated part</t>
  </si>
  <si>
    <t>- The purpose is to achieve a balance among competing issues between disaggregated and fully aggregated fee rates</t>
  </si>
  <si>
    <t xml:space="preserve">3. Aggregation of paper packaging is as follows: 1) cardboard &amp; boxboard into one fee and 2) gable top, paper laminants and aseptic into another fee </t>
  </si>
  <si>
    <t>Newsprint–CNA/OCNA Members</t>
  </si>
  <si>
    <t>Other Newsprint–Non-CNA/OCNA Members</t>
  </si>
  <si>
    <t>Directories</t>
  </si>
  <si>
    <t>Other Printed Materials</t>
  </si>
  <si>
    <t>Boxboard and Other Paper Packaging</t>
  </si>
  <si>
    <t>Gable Top Containers</t>
  </si>
  <si>
    <t>Paper Laminates</t>
  </si>
  <si>
    <t>PET Bottles &gt; 5 Litres</t>
  </si>
  <si>
    <t>HDPE Bottles and Jugs</t>
  </si>
  <si>
    <t>HDPE Bottles and Jugs &gt; 5 Litres</t>
  </si>
  <si>
    <t>LDPE/HDPE Film</t>
  </si>
  <si>
    <t>LDPE/HDPE Film Carry-Out Bags</t>
  </si>
  <si>
    <t>Expanded Polystyrene</t>
  </si>
  <si>
    <t>Non-Expanded Polystyrene</t>
  </si>
  <si>
    <t>Natural and Synthetic Textiles</t>
  </si>
  <si>
    <t>Other Plastic Packaging</t>
  </si>
  <si>
    <t>Other Plastic Packaging &gt; 5 Litres</t>
  </si>
  <si>
    <t>Printed Materials</t>
  </si>
  <si>
    <t>Steel and Other Metal Packaging</t>
  </si>
  <si>
    <t>Plastic Laminates</t>
  </si>
  <si>
    <t>Other Steel and Metal Containers and Packaging</t>
  </si>
  <si>
    <t>Aluminum Food and Beverage Containers</t>
  </si>
  <si>
    <t>Material Categories - Steward Rules</t>
  </si>
  <si>
    <t>Historic Material Fee Rates</t>
  </si>
  <si>
    <t>Magazines, telephone books, other printed paper (partial aggregation)</t>
  </si>
  <si>
    <t>2014 Fees</t>
  </si>
  <si>
    <t>2014 Blue Box Fee Schedule</t>
  </si>
  <si>
    <t>2014 Fee Rates</t>
  </si>
  <si>
    <t>2012 Tonnage Data</t>
  </si>
  <si>
    <t>2012 Cost &amp; Revenue Data</t>
  </si>
  <si>
    <t>Model Parameters for Setting 2014 Fees</t>
  </si>
  <si>
    <t>Stewards Sales for 2012 (Sheet 3)</t>
  </si>
  <si>
    <t>Cash to municipalities</t>
  </si>
  <si>
    <t>CIF</t>
  </si>
  <si>
    <t>Sales 2012</t>
  </si>
  <si>
    <t>Steel Aerosol Containers</t>
  </si>
  <si>
    <t>Aluminum Aerosol Containers</t>
  </si>
  <si>
    <t>Disrupter Plastics</t>
  </si>
  <si>
    <t>$/ tonne</t>
  </si>
  <si>
    <t>Rec. Rate Allocated Fee/Tonne Supplied</t>
  </si>
  <si>
    <t>Net Cost Allocated Fee/Tonne Supplied</t>
  </si>
  <si>
    <t>Equalization Allocated Fee/Tonne Supplied</t>
  </si>
  <si>
    <t>Base Fee Total Fee/Tonne Supplied</t>
  </si>
  <si>
    <t>Program Management Cost</t>
  </si>
  <si>
    <t>4. Aggregation of plastic packaging is as follows: 1) PET, 2) HDPE and 3) film, plastic laminates, polystyrene and other plastics</t>
  </si>
  <si>
    <t>All figures are estimated, pending completion of the MIPC negotiations</t>
  </si>
  <si>
    <t>Estimated Obligation to Municipalities</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</si>
</sst>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_);_(* \(#,##0.0\);_(* &quot;-&quot;??_);_(@_)"/>
    <numFmt numFmtId="173" formatCode="_(* #,##0_);_(* \(#,##0\);_(* &quot;-&quot;??_);_(@_)"/>
    <numFmt numFmtId="174" formatCode="0.0%"/>
    <numFmt numFmtId="175" formatCode="_(* #,##0.000_);_(* \(#,##0.000\);_(* &quot;-&quot;??_);_(@_)"/>
    <numFmt numFmtId="176" formatCode="_(* #,##0.0000_);_(* \(#,##0.0000\);_(* &quot;-&quot;??_);_(@_)"/>
    <numFmt numFmtId="177" formatCode="0.0000"/>
    <numFmt numFmtId="178" formatCode="0.000"/>
    <numFmt numFmtId="179" formatCode="_(&quot;$&quot;* #,##0_);_(&quot;$&quot;* \(#,##0\);_(&quot;$&quot;* &quot;-&quot;??_);_(@_)"/>
    <numFmt numFmtId="180" formatCode="&quot;$&quot;#,##0"/>
    <numFmt numFmtId="181" formatCode=";;"/>
    <numFmt numFmtId="182" formatCode="0.000%"/>
    <numFmt numFmtId="183" formatCode="#,##0.00&quot; ¢/kg&quot;"/>
    <numFmt numFmtId="184" formatCode="#,##0.000&quot; ¢/kg&quot;"/>
    <numFmt numFmtId="185" formatCode="&quot;Net Cost to Achieve &quot;0%\ &quot;Diversion Rate&quot;"/>
    <numFmt numFmtId="186" formatCode="&quot;$&quot;0.00&quot;/tonne&quot;"/>
    <numFmt numFmtId="187" formatCode="&quot;$&quot;0.00&quot; /tonne&quot;"/>
    <numFmt numFmtId="188" formatCode="0.0000000%"/>
    <numFmt numFmtId="189" formatCode="_(* #,##0.00000_);_(* \(#,##0.00000\);_(* &quot;-&quot;??_);_(@_)"/>
    <numFmt numFmtId="190" formatCode="_(* #,##0.0000000_);_(* \(#,##0.0000000\);_(* &quot;-&quot;??_);_(@_)"/>
    <numFmt numFmtId="191" formatCode="_(&quot;$&quot;* #,##0.00000_);_(&quot;$&quot;* \(#,##0.00000\);_(&quot;$&quot;* &quot;-&quot;??_);_(@_)"/>
    <numFmt numFmtId="192" formatCode="#,##0.000"/>
    <numFmt numFmtId="193" formatCode="#,##0.0000"/>
    <numFmt numFmtId="194" formatCode="&quot;$&quot;#,##0.0;[Red]\-&quot;$&quot;#,##0.0"/>
    <numFmt numFmtId="195" formatCode="_(&quot;$&quot;* #,##0.0_);_(&quot;$&quot;* \(#,##0.0\);_(&quot;$&quot;* &quot;-&quot;??_);_(@_)"/>
    <numFmt numFmtId="196" formatCode="_(&quot;$&quot;* #,##0.000_);_(&quot;$&quot;* \(#,##0.000\);_(&quot;$&quot;* &quot;-&quot;??_);_(@_)"/>
    <numFmt numFmtId="197" formatCode="#,##0.0"/>
    <numFmt numFmtId="198" formatCode="#,##0.00000"/>
    <numFmt numFmtId="199" formatCode="#,##0.000000"/>
    <numFmt numFmtId="200" formatCode="&quot;Yes&quot;;&quot;Yes&quot;;&quot;No&quot;"/>
    <numFmt numFmtId="201" formatCode="&quot;True&quot;;&quot;True&quot;;&quot;False&quot;"/>
    <numFmt numFmtId="202" formatCode="&quot;On&quot;;&quot;On&quot;;&quot;Off&quot;"/>
    <numFmt numFmtId="203" formatCode="[$€-2]\ #,##0.00_);[Red]\([$€-2]\ #,##0.00\)"/>
    <numFmt numFmtId="204" formatCode="0.00000"/>
    <numFmt numFmtId="205" formatCode="0.000000"/>
    <numFmt numFmtId="206" formatCode="_(&quot;$&quot;* #,##0.0000_);_(&quot;$&quot;* \(#,##0.0000\);_(&quot;$&quot;* &quot;-&quot;??_);_(@_)"/>
    <numFmt numFmtId="207" formatCode="_-&quot;$&quot;* #,##0.0_-;\-&quot;$&quot;* #,##0.0_-;_-&quot;$&quot;* &quot;-&quot;?_-;_-@_-"/>
    <numFmt numFmtId="208" formatCode="&quot;Net Cost to Achieve &quot;0%\ &quot;Recovery Rate&quot;"/>
  </numFmts>
  <fonts count="62">
    <font>
      <sz val="10"/>
      <name val="Arial"/>
      <family val="0"/>
    </font>
    <font>
      <b/>
      <sz val="10"/>
      <name val="Arial"/>
      <family val="2"/>
    </font>
    <font>
      <i/>
      <sz val="10"/>
      <name val="Arial"/>
      <family val="2"/>
    </font>
    <font>
      <b/>
      <sz val="12"/>
      <name val="Arial"/>
      <family val="2"/>
    </font>
    <font>
      <b/>
      <sz val="12"/>
      <color indexed="18"/>
      <name val="Arial"/>
      <family val="2"/>
    </font>
    <font>
      <b/>
      <sz val="10"/>
      <color indexed="10"/>
      <name val="Arial"/>
      <family val="2"/>
    </font>
    <font>
      <b/>
      <sz val="12"/>
      <color indexed="10"/>
      <name val="Arial"/>
      <family val="2"/>
    </font>
    <font>
      <sz val="10"/>
      <color indexed="10"/>
      <name val="Arial"/>
      <family val="2"/>
    </font>
    <font>
      <b/>
      <i/>
      <sz val="10"/>
      <name val="Arial"/>
      <family val="2"/>
    </font>
    <font>
      <b/>
      <sz val="12"/>
      <color indexed="12"/>
      <name val="Arial"/>
      <family val="2"/>
    </font>
    <font>
      <b/>
      <sz val="10"/>
      <color indexed="12"/>
      <name val="Arial"/>
      <family val="2"/>
    </font>
    <font>
      <sz val="8"/>
      <name val="Tahoma"/>
      <family val="2"/>
    </font>
    <font>
      <b/>
      <sz val="8"/>
      <name val="Tahoma"/>
      <family val="2"/>
    </font>
    <font>
      <b/>
      <i/>
      <sz val="10"/>
      <color indexed="10"/>
      <name val="Arial"/>
      <family val="2"/>
    </font>
    <font>
      <sz val="10"/>
      <color indexed="18"/>
      <name val="Arial"/>
      <family val="2"/>
    </font>
    <font>
      <u val="single"/>
      <sz val="10"/>
      <color indexed="36"/>
      <name val="Arial"/>
      <family val="2"/>
    </font>
    <font>
      <u val="single"/>
      <sz val="10"/>
      <color indexed="12"/>
      <name val="Arial"/>
      <family val="2"/>
    </font>
    <font>
      <b/>
      <sz val="11"/>
      <name val="Arial"/>
      <family val="2"/>
    </font>
    <font>
      <sz val="9"/>
      <name val="Arial"/>
      <family val="2"/>
    </font>
    <font>
      <b/>
      <sz val="20"/>
      <name val="Arial"/>
      <family val="2"/>
    </font>
    <font>
      <b/>
      <sz val="10"/>
      <color indexed="8"/>
      <name val="Arial"/>
      <family val="2"/>
    </font>
    <font>
      <sz val="10"/>
      <color indexed="8"/>
      <name val="Arial"/>
      <family val="2"/>
    </font>
    <font>
      <b/>
      <sz val="24"/>
      <name val="Arial"/>
      <family val="2"/>
    </font>
    <font>
      <sz val="24"/>
      <name val="Arial"/>
      <family val="2"/>
    </font>
    <font>
      <sz val="12"/>
      <name val="Arial"/>
      <family val="2"/>
    </font>
    <font>
      <b/>
      <sz val="11"/>
      <color indexed="10"/>
      <name val="Arial"/>
      <family val="2"/>
    </font>
    <font>
      <b/>
      <sz val="16"/>
      <color indexed="10"/>
      <name val="Arial"/>
      <family val="2"/>
    </font>
    <font>
      <sz val="20"/>
      <name val="Arial"/>
      <family val="2"/>
    </font>
    <font>
      <b/>
      <sz val="20"/>
      <color indexed="10"/>
      <name val="Arial"/>
      <family val="2"/>
    </font>
    <font>
      <b/>
      <i/>
      <sz val="2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MS Sans Serif"/>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2"/>
      <name val="Arial"/>
      <family val="2"/>
    </font>
    <font>
      <sz val="11"/>
      <name val="Arial"/>
      <family val="2"/>
    </font>
    <font>
      <sz val="12"/>
      <color indexed="62"/>
      <name val="Arial"/>
      <family val="2"/>
    </font>
    <font>
      <b/>
      <sz val="12"/>
      <color indexed="62"/>
      <name val="Arial"/>
      <family val="2"/>
    </font>
    <font>
      <sz val="12"/>
      <name val="Calibri"/>
      <family val="2"/>
    </font>
    <font>
      <sz val="10"/>
      <name val="Calibri"/>
      <family val="2"/>
    </font>
    <font>
      <b/>
      <sz val="12"/>
      <name val="Calibri"/>
      <family val="2"/>
    </font>
    <font>
      <b/>
      <sz val="18"/>
      <name val="Calibri"/>
      <family val="2"/>
    </font>
    <font>
      <sz val="18"/>
      <name val="Calibri"/>
      <family val="2"/>
    </font>
    <font>
      <b/>
      <sz val="14"/>
      <color indexed="8"/>
      <name val="Arial"/>
      <family val="0"/>
    </font>
    <font>
      <sz val="6.9"/>
      <color indexed="8"/>
      <name val="Arial"/>
      <family val="0"/>
    </font>
    <font>
      <sz val="12"/>
      <color theme="4" tint="-0.24997000396251678"/>
      <name val="Arial"/>
      <family val="2"/>
    </font>
    <font>
      <b/>
      <sz val="12"/>
      <color theme="4" tint="-0.24997000396251678"/>
      <name val="Arial"/>
      <family val="2"/>
    </font>
    <font>
      <b/>
      <sz val="8"/>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gray0625">
        <fgColor indexed="55"/>
        <bgColor indexed="9"/>
      </patternFill>
    </fill>
    <fill>
      <patternFill patternType="gray0625">
        <fgColor indexed="55"/>
      </patternFill>
    </fill>
    <fill>
      <patternFill patternType="gray0625">
        <fgColor indexed="15"/>
        <bgColor indexed="9"/>
      </patternFill>
    </fill>
    <fill>
      <patternFill patternType="gray0625">
        <fgColor indexed="45"/>
        <bgColor indexed="9"/>
      </patternFill>
    </fill>
    <fill>
      <patternFill patternType="lightGray">
        <fgColor indexed="15"/>
        <bgColor indexed="9"/>
      </patternFill>
    </fill>
    <fill>
      <patternFill patternType="gray125">
        <fgColor indexed="47"/>
        <bgColor indexed="9"/>
      </patternFill>
    </fill>
    <fill>
      <patternFill patternType="gray125">
        <fgColor indexed="24"/>
        <bgColor indexed="9"/>
      </patternFill>
    </fill>
    <fill>
      <patternFill patternType="gray125">
        <fgColor indexed="14"/>
        <bgColor indexed="9"/>
      </patternFill>
    </fill>
    <fill>
      <patternFill patternType="gray125">
        <fgColor indexed="42"/>
        <bgColor indexed="9"/>
      </patternFill>
    </fill>
    <fill>
      <patternFill patternType="gray125">
        <fgColor indexed="49"/>
        <bgColor indexed="9"/>
      </patternFill>
    </fill>
    <fill>
      <patternFill patternType="gray0625">
        <fgColor indexed="52"/>
        <bgColor indexed="9"/>
      </patternFill>
    </fill>
    <fill>
      <patternFill patternType="solid">
        <fgColor indexed="9"/>
        <bgColor indexed="64"/>
      </patternFill>
    </fill>
    <fill>
      <patternFill patternType="gray0625">
        <fgColor indexed="22"/>
      </patternFill>
    </fill>
  </fills>
  <borders count="1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color indexed="63"/>
      </top>
      <bottom style="medium"/>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color indexed="63"/>
      </left>
      <right>
        <color indexed="63"/>
      </right>
      <top style="thin"/>
      <bottom style="thin"/>
    </border>
    <border>
      <left style="medium"/>
      <right style="thin"/>
      <top>
        <color indexed="63"/>
      </top>
      <bottom style="hair"/>
    </border>
    <border>
      <left style="thin"/>
      <right style="medium"/>
      <top style="thin"/>
      <bottom style="hair"/>
    </border>
    <border>
      <left style="thin"/>
      <right style="medium"/>
      <top>
        <color indexed="63"/>
      </top>
      <bottom style="hair"/>
    </border>
    <border>
      <left style="thin"/>
      <right style="thin"/>
      <top>
        <color indexed="63"/>
      </top>
      <bottom style="hair"/>
    </border>
    <border>
      <left style="medium"/>
      <right style="thin"/>
      <top style="hair"/>
      <bottom style="hair"/>
    </border>
    <border>
      <left style="thin"/>
      <right style="thin"/>
      <top style="hair"/>
      <bottom style="hair"/>
    </border>
    <border>
      <left style="medium"/>
      <right style="thin"/>
      <top style="hair"/>
      <bottom>
        <color indexed="63"/>
      </bottom>
    </border>
    <border>
      <left style="thin"/>
      <right style="thin"/>
      <top style="hair"/>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color indexed="63"/>
      </left>
      <right>
        <color indexed="63"/>
      </right>
      <top style="thin"/>
      <bottom style="medium"/>
    </border>
    <border>
      <left>
        <color indexed="63"/>
      </left>
      <right>
        <color indexed="63"/>
      </right>
      <top style="thin"/>
      <bottom>
        <color indexed="63"/>
      </bottom>
    </border>
    <border>
      <left style="thin"/>
      <right style="medium"/>
      <top style="thin"/>
      <bottom>
        <color indexed="63"/>
      </bottom>
    </border>
    <border>
      <left style="medium"/>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color indexed="63"/>
      </right>
      <top style="medium"/>
      <bottom style="medium"/>
    </border>
    <border>
      <left style="medium"/>
      <right style="thin"/>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style="thin"/>
    </border>
    <border>
      <left style="thin"/>
      <right style="thin"/>
      <top style="thin"/>
      <bottom>
        <color indexed="63"/>
      </bottom>
    </border>
    <border>
      <left style="medium"/>
      <right style="thin"/>
      <top style="thin"/>
      <bottom style="double"/>
    </border>
    <border>
      <left style="thin"/>
      <right style="thin"/>
      <top style="thin"/>
      <bottom style="double"/>
    </border>
    <border>
      <left style="thin"/>
      <right style="medium"/>
      <top style="thin"/>
      <bottom style="double"/>
    </border>
    <border>
      <left>
        <color indexed="63"/>
      </left>
      <right>
        <color indexed="63"/>
      </right>
      <top style="thin"/>
      <bottom style="double"/>
    </border>
    <border>
      <left style="medium"/>
      <right style="thin"/>
      <top>
        <color indexed="63"/>
      </top>
      <bottom style="thin"/>
    </border>
    <border>
      <left style="medium"/>
      <right>
        <color indexed="63"/>
      </right>
      <top style="thin"/>
      <bottom style="medium"/>
    </border>
    <border>
      <left>
        <color indexed="63"/>
      </left>
      <right style="thin"/>
      <top style="thin"/>
      <bottom style="thin"/>
    </border>
    <border>
      <left style="thin"/>
      <right style="medium"/>
      <top>
        <color indexed="63"/>
      </top>
      <bottom style="thin"/>
    </border>
    <border>
      <left style="medium"/>
      <right style="medium"/>
      <top>
        <color indexed="63"/>
      </top>
      <bottom>
        <color indexed="63"/>
      </bottom>
    </border>
    <border>
      <left style="medium"/>
      <right>
        <color indexed="63"/>
      </right>
      <top>
        <color indexed="63"/>
      </top>
      <bottom>
        <color indexed="63"/>
      </bottom>
    </border>
    <border>
      <left style="medium"/>
      <right style="medium"/>
      <top style="thin"/>
      <bottom style="thin"/>
    </border>
    <border>
      <left style="medium"/>
      <right>
        <color indexed="63"/>
      </right>
      <top style="thin"/>
      <bottom style="thin"/>
    </border>
    <border>
      <left style="medium"/>
      <right style="thin"/>
      <top style="thin"/>
      <bottom style="hair"/>
    </border>
    <border>
      <left style="medium"/>
      <right style="medium"/>
      <top style="thin"/>
      <bottom style="hair"/>
    </border>
    <border>
      <left style="medium"/>
      <right style="medium"/>
      <top>
        <color indexed="63"/>
      </top>
      <bottom style="hair"/>
    </border>
    <border>
      <left style="thin"/>
      <right style="thin"/>
      <top style="thin"/>
      <bottom style="hair"/>
    </border>
    <border>
      <left style="medium"/>
      <right>
        <color indexed="63"/>
      </right>
      <top>
        <color indexed="63"/>
      </top>
      <bottom style="hair"/>
    </border>
    <border>
      <left style="medium"/>
      <right style="medium"/>
      <top style="hair"/>
      <bottom style="hair"/>
    </border>
    <border>
      <left style="thin"/>
      <right style="medium"/>
      <top style="hair"/>
      <bottom style="hair"/>
    </border>
    <border>
      <left style="medium"/>
      <right>
        <color indexed="63"/>
      </right>
      <top style="hair"/>
      <bottom style="hair"/>
    </border>
    <border>
      <left style="thin"/>
      <right style="medium"/>
      <top style="hair"/>
      <bottom>
        <color indexed="63"/>
      </bottom>
    </border>
    <border>
      <left style="medium"/>
      <right style="medium"/>
      <top style="hair"/>
      <bottom>
        <color indexed="63"/>
      </bottom>
    </border>
    <border>
      <left style="medium"/>
      <right>
        <color indexed="63"/>
      </right>
      <top style="hair"/>
      <bottom>
        <color indexed="63"/>
      </bottom>
    </border>
    <border>
      <left style="medium"/>
      <right style="medium"/>
      <top style="thin"/>
      <bottom style="medium"/>
    </border>
    <border>
      <left style="medium"/>
      <right style="medium"/>
      <top style="medium"/>
      <bottom style="thin"/>
    </border>
    <border>
      <left style="medium"/>
      <right>
        <color indexed="63"/>
      </right>
      <top style="medium"/>
      <bottom style="thin"/>
    </border>
    <border>
      <left style="medium"/>
      <right style="thin"/>
      <top>
        <color indexed="63"/>
      </top>
      <bottom style="medium"/>
    </border>
    <border>
      <left style="thin"/>
      <right style="medium"/>
      <top>
        <color indexed="63"/>
      </top>
      <bottom style="medium"/>
    </border>
    <border>
      <left style="thin"/>
      <right style="thin"/>
      <top>
        <color indexed="63"/>
      </top>
      <bottom style="medium"/>
    </border>
    <border>
      <left style="medium"/>
      <right style="thin"/>
      <top style="medium"/>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medium"/>
      <bottom style="medium"/>
    </border>
    <border>
      <left style="medium"/>
      <right>
        <color indexed="63"/>
      </right>
      <top style="medium"/>
      <bottom>
        <color indexed="63"/>
      </bottom>
    </border>
    <border>
      <left style="thin"/>
      <right style="thin"/>
      <top style="medium"/>
      <bottom>
        <color indexed="63"/>
      </bottom>
    </border>
    <border>
      <left style="medium"/>
      <right style="medium"/>
      <top style="medium"/>
      <bottom>
        <color indexed="63"/>
      </bottom>
    </border>
    <border>
      <left style="thin"/>
      <right>
        <color indexed="63"/>
      </right>
      <top style="medium"/>
      <bottom>
        <color indexed="63"/>
      </bottom>
    </border>
    <border>
      <left style="thin"/>
      <right>
        <color indexed="63"/>
      </right>
      <top style="medium"/>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style="medium"/>
      <top style="medium"/>
      <bottom style="medium"/>
    </border>
    <border>
      <left style="medium"/>
      <right style="medium"/>
      <top style="thin"/>
      <bottom>
        <color indexed="63"/>
      </bottom>
    </border>
    <border>
      <left style="medium"/>
      <right>
        <color indexed="63"/>
      </right>
      <top style="medium"/>
      <bottom style="medium"/>
    </border>
    <border>
      <left>
        <color indexed="63"/>
      </left>
      <right style="medium"/>
      <top>
        <color indexed="63"/>
      </top>
      <bottom style="medium"/>
    </border>
    <border>
      <left style="thin"/>
      <right style="medium"/>
      <top style="medium"/>
      <bottom>
        <color indexed="63"/>
      </bottom>
    </border>
    <border>
      <left>
        <color indexed="63"/>
      </left>
      <right>
        <color indexed="63"/>
      </right>
      <top>
        <color indexed="63"/>
      </top>
      <bottom style="hair"/>
    </border>
    <border>
      <left style="thin"/>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style="medium"/>
    </border>
    <border>
      <left>
        <color indexed="63"/>
      </left>
      <right>
        <color indexed="63"/>
      </right>
      <top>
        <color indexed="63"/>
      </top>
      <bottom style="medium"/>
    </border>
    <border>
      <left style="medium"/>
      <right style="medium"/>
      <top style="double"/>
      <bottom>
        <color indexed="63"/>
      </bottom>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color indexed="63"/>
      </top>
      <bottom style="medium"/>
    </border>
    <border>
      <left>
        <color indexed="63"/>
      </left>
      <right style="thin"/>
      <top style="thin"/>
      <bottom style="medium"/>
    </border>
    <border>
      <left>
        <color indexed="63"/>
      </left>
      <right style="medium"/>
      <top style="medium"/>
      <bottom style="medium"/>
    </border>
    <border>
      <left>
        <color indexed="63"/>
      </left>
      <right style="medium"/>
      <top>
        <color indexed="63"/>
      </top>
      <bottom style="thin"/>
    </border>
    <border>
      <left style="medium">
        <color indexed="10"/>
      </left>
      <right style="medium">
        <color indexed="10"/>
      </right>
      <top style="medium">
        <color indexed="10"/>
      </top>
      <bottom style="medium">
        <color indexed="10"/>
      </bottom>
    </border>
    <border>
      <left style="medium"/>
      <right>
        <color indexed="63"/>
      </right>
      <top>
        <color indexed="63"/>
      </top>
      <bottom style="medium"/>
    </border>
    <border>
      <left>
        <color indexed="63"/>
      </left>
      <right style="medium"/>
      <top style="medium"/>
      <bottom style="thin"/>
    </border>
    <border>
      <left style="medium"/>
      <right>
        <color indexed="63"/>
      </right>
      <top>
        <color indexed="63"/>
      </top>
      <bottom style="thin"/>
    </border>
    <border>
      <left>
        <color indexed="63"/>
      </left>
      <right style="medium"/>
      <top style="thin"/>
      <bottom style="thin"/>
    </border>
    <border>
      <left>
        <color indexed="63"/>
      </left>
      <right style="medium"/>
      <top>
        <color indexed="63"/>
      </top>
      <bottom style="hair"/>
    </border>
    <border>
      <left>
        <color indexed="63"/>
      </left>
      <right style="medium"/>
      <top style="thin"/>
      <bottom>
        <color indexed="63"/>
      </bottom>
    </border>
    <border>
      <left>
        <color indexed="63"/>
      </left>
      <right style="medium"/>
      <top style="hair"/>
      <bottom style="hair"/>
    </border>
    <border>
      <left>
        <color indexed="63"/>
      </left>
      <right style="medium"/>
      <top style="hair"/>
      <bottom>
        <color indexed="63"/>
      </bottom>
    </border>
    <border>
      <left>
        <color indexed="63"/>
      </left>
      <right style="medium"/>
      <top style="thin"/>
      <bottom style="double"/>
    </border>
    <border>
      <left>
        <color indexed="63"/>
      </left>
      <right style="medium"/>
      <top style="thin"/>
      <bottom style="hair"/>
    </border>
    <border>
      <left>
        <color indexed="63"/>
      </left>
      <right style="medium"/>
      <top style="hair"/>
      <bottom style="thin"/>
    </border>
    <border>
      <left>
        <color indexed="63"/>
      </left>
      <right style="medium"/>
      <top style="thin"/>
      <bottom style="medium"/>
    </border>
    <border>
      <left style="thin"/>
      <right>
        <color indexed="63"/>
      </right>
      <top style="thin"/>
      <bottom style="hair"/>
    </border>
    <border>
      <left style="thin"/>
      <right>
        <color indexed="63"/>
      </right>
      <top style="hair"/>
      <bottom style="hair"/>
    </border>
    <border>
      <left style="thin"/>
      <right style="thin"/>
      <top style="hair"/>
      <bottom style="thin"/>
    </border>
    <border>
      <left style="thin"/>
      <right>
        <color indexed="63"/>
      </right>
      <top style="hair"/>
      <bottom style="thin"/>
    </border>
    <border>
      <left style="thin"/>
      <right style="medium"/>
      <top style="hair"/>
      <bottom style="thin"/>
    </border>
    <border>
      <left>
        <color indexed="63"/>
      </left>
      <right style="thin"/>
      <top style="thin"/>
      <bottom>
        <color indexed="63"/>
      </bottom>
    </border>
    <border>
      <left>
        <color indexed="63"/>
      </left>
      <right style="thin"/>
      <top>
        <color indexed="63"/>
      </top>
      <bottom style="thin"/>
    </border>
    <border>
      <left style="medium"/>
      <right style="medium"/>
      <top style="medium"/>
      <bottom style="medium"/>
    </border>
    <border>
      <left style="thin"/>
      <right>
        <color indexed="63"/>
      </right>
      <top style="thin"/>
      <bottom>
        <color indexed="63"/>
      </bottom>
    </border>
    <border>
      <left style="medium"/>
      <right style="medium"/>
      <top>
        <color indexed="63"/>
      </top>
      <bottom style="thin"/>
    </border>
  </borders>
  <cellStyleXfs count="15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3" fillId="20" borderId="1" applyNumberFormat="0" applyAlignment="0" applyProtection="0"/>
    <xf numFmtId="0" fontId="33" fillId="20" borderId="1" applyNumberFormat="0" applyAlignment="0" applyProtection="0"/>
    <xf numFmtId="0" fontId="33" fillId="20" borderId="1" applyNumberFormat="0" applyAlignment="0" applyProtection="0"/>
    <xf numFmtId="0" fontId="34" fillId="21" borderId="2" applyNumberFormat="0" applyAlignment="0" applyProtection="0"/>
    <xf numFmtId="0" fontId="34" fillId="21" borderId="2" applyNumberFormat="0" applyAlignment="0" applyProtection="0"/>
    <xf numFmtId="0" fontId="34"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0"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5" fillId="0" borderId="0" applyNumberFormat="0" applyFill="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7" fillId="0" borderId="3" applyNumberFormat="0" applyFill="0" applyAlignment="0" applyProtection="0"/>
    <xf numFmtId="0" fontId="37" fillId="0" borderId="3"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4"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16" fillId="0" borderId="0" applyNumberFormat="0" applyFill="0" applyBorder="0" applyAlignment="0" applyProtection="0"/>
    <xf numFmtId="0" fontId="40" fillId="7" borderId="1" applyNumberFormat="0" applyAlignment="0" applyProtection="0"/>
    <xf numFmtId="0" fontId="40" fillId="7" borderId="1" applyNumberFormat="0" applyAlignment="0" applyProtection="0"/>
    <xf numFmtId="0" fontId="40" fillId="7" borderId="1" applyNumberFormat="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3" fillId="0" borderId="0">
      <alignment/>
      <protection/>
    </xf>
    <xf numFmtId="0" fontId="0" fillId="0" borderId="0">
      <alignment/>
      <protection/>
    </xf>
    <xf numFmtId="0" fontId="0" fillId="0" borderId="0">
      <alignment/>
      <protection/>
    </xf>
    <xf numFmtId="0" fontId="43" fillId="0" borderId="0">
      <alignment/>
      <protection/>
    </xf>
    <xf numFmtId="0" fontId="43" fillId="0" borderId="0">
      <alignment/>
      <protection/>
    </xf>
    <xf numFmtId="0" fontId="0" fillId="23" borderId="7" applyNumberFormat="0" applyFont="0" applyAlignment="0" applyProtection="0"/>
    <xf numFmtId="0" fontId="30" fillId="23" borderId="7" applyNumberFormat="0" applyFont="0" applyAlignment="0" applyProtection="0"/>
    <xf numFmtId="0" fontId="30" fillId="23" borderId="7" applyNumberFormat="0" applyFont="0" applyAlignment="0" applyProtection="0"/>
    <xf numFmtId="0" fontId="44" fillId="20" borderId="8" applyNumberFormat="0" applyAlignment="0" applyProtection="0"/>
    <xf numFmtId="0" fontId="44" fillId="20" borderId="8" applyNumberFormat="0" applyAlignment="0" applyProtection="0"/>
    <xf numFmtId="0" fontId="44"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cellStyleXfs>
  <cellXfs count="984">
    <xf numFmtId="0" fontId="0" fillId="0" borderId="0" xfId="0" applyAlignment="1">
      <alignment/>
    </xf>
    <xf numFmtId="0" fontId="0" fillId="0" borderId="0" xfId="0" applyAlignment="1" applyProtection="1">
      <alignment/>
      <protection/>
    </xf>
    <xf numFmtId="0" fontId="0" fillId="0" borderId="0" xfId="0" applyAlignment="1" applyProtection="1">
      <alignment vertical="center"/>
      <protection/>
    </xf>
    <xf numFmtId="0" fontId="1" fillId="0" borderId="0" xfId="0" applyFont="1" applyAlignment="1" applyProtection="1">
      <alignment vertical="center"/>
      <protection/>
    </xf>
    <xf numFmtId="0" fontId="1" fillId="0" borderId="0" xfId="0" applyFont="1" applyBorder="1" applyAlignment="1" applyProtection="1">
      <alignment vertical="center"/>
      <protection/>
    </xf>
    <xf numFmtId="0" fontId="0" fillId="0" borderId="0" xfId="0" applyBorder="1" applyAlignment="1" applyProtection="1">
      <alignment vertical="center"/>
      <protection/>
    </xf>
    <xf numFmtId="181" fontId="0" fillId="0" borderId="0" xfId="0" applyNumberFormat="1" applyBorder="1" applyAlignment="1" applyProtection="1">
      <alignment vertical="center"/>
      <protection/>
    </xf>
    <xf numFmtId="179" fontId="3" fillId="0" borderId="0" xfId="99" applyNumberFormat="1" applyFont="1" applyBorder="1" applyAlignment="1" applyProtection="1">
      <alignment vertical="center"/>
      <protection/>
    </xf>
    <xf numFmtId="0" fontId="3" fillId="0" borderId="10" xfId="0" applyFont="1" applyBorder="1" applyAlignment="1" applyProtection="1">
      <alignment horizontal="center" vertical="center"/>
      <protection/>
    </xf>
    <xf numFmtId="0" fontId="0" fillId="0" borderId="0" xfId="0" applyBorder="1" applyAlignment="1" applyProtection="1">
      <alignment horizontal="center" vertical="center"/>
      <protection/>
    </xf>
    <xf numFmtId="0" fontId="3" fillId="24" borderId="11" xfId="0" applyFont="1" applyFill="1" applyBorder="1" applyAlignment="1" applyProtection="1">
      <alignment horizontal="left" vertical="center"/>
      <protection/>
    </xf>
    <xf numFmtId="0" fontId="1" fillId="24" borderId="12" xfId="0" applyFont="1" applyFill="1" applyBorder="1" applyAlignment="1" applyProtection="1">
      <alignment vertical="center"/>
      <protection/>
    </xf>
    <xf numFmtId="10" fontId="1" fillId="24" borderId="12" xfId="143" applyNumberFormat="1" applyFont="1" applyFill="1" applyBorder="1" applyAlignment="1" applyProtection="1">
      <alignment vertical="center"/>
      <protection/>
    </xf>
    <xf numFmtId="173" fontId="1" fillId="24" borderId="12" xfId="96" applyNumberFormat="1" applyFont="1" applyFill="1" applyBorder="1" applyAlignment="1" applyProtection="1">
      <alignment vertical="center"/>
      <protection/>
    </xf>
    <xf numFmtId="173" fontId="1" fillId="24" borderId="13" xfId="96" applyNumberFormat="1" applyFont="1" applyFill="1" applyBorder="1" applyAlignment="1" applyProtection="1">
      <alignment vertical="center"/>
      <protection/>
    </xf>
    <xf numFmtId="170" fontId="1" fillId="24" borderId="11" xfId="99" applyFont="1" applyFill="1" applyBorder="1" applyAlignment="1" applyProtection="1">
      <alignment vertical="center"/>
      <protection/>
    </xf>
    <xf numFmtId="179" fontId="1" fillId="24" borderId="14" xfId="99" applyNumberFormat="1" applyFont="1" applyFill="1" applyBorder="1" applyAlignment="1" applyProtection="1">
      <alignment vertical="center"/>
      <protection/>
    </xf>
    <xf numFmtId="179" fontId="1" fillId="24" borderId="15" xfId="99" applyNumberFormat="1" applyFont="1" applyFill="1" applyBorder="1" applyAlignment="1" applyProtection="1">
      <alignment vertical="center"/>
      <protection/>
    </xf>
    <xf numFmtId="179" fontId="1" fillId="24" borderId="12" xfId="0" applyNumberFormat="1" applyFont="1" applyFill="1" applyBorder="1" applyAlignment="1" applyProtection="1">
      <alignment vertical="center"/>
      <protection/>
    </xf>
    <xf numFmtId="10" fontId="1" fillId="24" borderId="15" xfId="143" applyNumberFormat="1" applyFont="1" applyFill="1" applyBorder="1" applyAlignment="1" applyProtection="1">
      <alignment vertical="center"/>
      <protection/>
    </xf>
    <xf numFmtId="10" fontId="1" fillId="24" borderId="14" xfId="143" applyNumberFormat="1" applyFont="1" applyFill="1" applyBorder="1" applyAlignment="1" applyProtection="1">
      <alignment vertical="center"/>
      <protection/>
    </xf>
    <xf numFmtId="179" fontId="1" fillId="24" borderId="11" xfId="99" applyNumberFormat="1" applyFont="1" applyFill="1" applyBorder="1" applyAlignment="1" applyProtection="1">
      <alignment vertical="center"/>
      <protection/>
    </xf>
    <xf numFmtId="0" fontId="1" fillId="0" borderId="16" xfId="0" applyFont="1" applyFill="1" applyBorder="1" applyAlignment="1" applyProtection="1">
      <alignment vertical="center"/>
      <protection/>
    </xf>
    <xf numFmtId="0" fontId="0" fillId="0" borderId="17" xfId="0" applyFont="1" applyFill="1" applyBorder="1" applyAlignment="1" applyProtection="1">
      <alignment vertical="center"/>
      <protection/>
    </xf>
    <xf numFmtId="179" fontId="0" fillId="0" borderId="16" xfId="99" applyNumberFormat="1" applyFont="1" applyBorder="1" applyAlignment="1" applyProtection="1">
      <alignment vertical="center"/>
      <protection/>
    </xf>
    <xf numFmtId="0" fontId="0" fillId="0" borderId="18" xfId="0" applyFont="1" applyFill="1" applyBorder="1" applyAlignment="1" applyProtection="1">
      <alignment vertical="center"/>
      <protection/>
    </xf>
    <xf numFmtId="0" fontId="0" fillId="0" borderId="19" xfId="0" applyBorder="1" applyAlignment="1" applyProtection="1">
      <alignment vertical="center"/>
      <protection/>
    </xf>
    <xf numFmtId="0" fontId="1" fillId="0" borderId="20" xfId="0" applyFont="1" applyFill="1" applyBorder="1" applyAlignment="1" applyProtection="1">
      <alignment vertical="center"/>
      <protection/>
    </xf>
    <xf numFmtId="0" fontId="0" fillId="0" borderId="21" xfId="0" applyBorder="1" applyAlignment="1" applyProtection="1">
      <alignment vertical="center"/>
      <protection/>
    </xf>
    <xf numFmtId="0" fontId="1" fillId="0" borderId="22" xfId="0" applyFont="1" applyFill="1" applyBorder="1" applyAlignment="1" applyProtection="1">
      <alignment vertical="center"/>
      <protection/>
    </xf>
    <xf numFmtId="0" fontId="0" fillId="0" borderId="23" xfId="0" applyBorder="1" applyAlignment="1" applyProtection="1">
      <alignment vertical="center"/>
      <protection/>
    </xf>
    <xf numFmtId="0" fontId="1" fillId="24" borderId="24" xfId="0" applyFont="1" applyFill="1" applyBorder="1" applyAlignment="1" applyProtection="1">
      <alignment horizontal="right" vertical="center"/>
      <protection/>
    </xf>
    <xf numFmtId="0" fontId="1" fillId="24" borderId="25" xfId="0" applyFont="1" applyFill="1" applyBorder="1" applyAlignment="1" applyProtection="1">
      <alignment vertical="center"/>
      <protection/>
    </xf>
    <xf numFmtId="173" fontId="1" fillId="24" borderId="25" xfId="96" applyNumberFormat="1" applyFont="1" applyFill="1" applyBorder="1" applyAlignment="1" applyProtection="1">
      <alignment vertical="center"/>
      <protection/>
    </xf>
    <xf numFmtId="173" fontId="1" fillId="24" borderId="26" xfId="96" applyNumberFormat="1" applyFont="1" applyFill="1" applyBorder="1" applyAlignment="1" applyProtection="1">
      <alignment vertical="center"/>
      <protection/>
    </xf>
    <xf numFmtId="170" fontId="1" fillId="24" borderId="24" xfId="99" applyFont="1" applyFill="1" applyBorder="1" applyAlignment="1" applyProtection="1">
      <alignment vertical="center"/>
      <protection/>
    </xf>
    <xf numFmtId="179" fontId="1" fillId="24" borderId="27" xfId="99" applyNumberFormat="1" applyFont="1" applyFill="1" applyBorder="1" applyAlignment="1" applyProtection="1">
      <alignment vertical="center"/>
      <protection/>
    </xf>
    <xf numFmtId="179" fontId="1" fillId="24" borderId="28" xfId="99" applyNumberFormat="1" applyFont="1" applyFill="1" applyBorder="1" applyAlignment="1" applyProtection="1">
      <alignment vertical="center"/>
      <protection/>
    </xf>
    <xf numFmtId="170" fontId="1" fillId="24" borderId="24" xfId="99" applyNumberFormat="1" applyFont="1" applyFill="1" applyBorder="1" applyAlignment="1" applyProtection="1">
      <alignment vertical="center"/>
      <protection/>
    </xf>
    <xf numFmtId="179" fontId="1" fillId="24" borderId="25" xfId="99" applyNumberFormat="1" applyFont="1" applyFill="1" applyBorder="1" applyAlignment="1" applyProtection="1">
      <alignment vertical="center"/>
      <protection/>
    </xf>
    <xf numFmtId="10" fontId="1" fillId="24" borderId="29" xfId="143" applyNumberFormat="1" applyFont="1" applyFill="1" applyBorder="1" applyAlignment="1" applyProtection="1">
      <alignment vertical="center"/>
      <protection/>
    </xf>
    <xf numFmtId="10" fontId="1" fillId="24" borderId="30" xfId="143" applyNumberFormat="1" applyFont="1" applyFill="1" applyBorder="1" applyAlignment="1" applyProtection="1">
      <alignment vertical="center"/>
      <protection/>
    </xf>
    <xf numFmtId="179" fontId="1" fillId="24" borderId="31" xfId="99" applyNumberFormat="1" applyFont="1" applyFill="1" applyBorder="1" applyAlignment="1" applyProtection="1">
      <alignment vertical="center"/>
      <protection/>
    </xf>
    <xf numFmtId="0" fontId="1" fillId="0" borderId="32" xfId="0" applyFont="1" applyFill="1" applyBorder="1" applyAlignment="1" applyProtection="1">
      <alignment horizontal="right" vertical="center"/>
      <protection/>
    </xf>
    <xf numFmtId="0" fontId="1" fillId="0" borderId="33" xfId="0" applyFont="1" applyFill="1" applyBorder="1" applyAlignment="1" applyProtection="1">
      <alignment vertical="center"/>
      <protection/>
    </xf>
    <xf numFmtId="10" fontId="1" fillId="0" borderId="33" xfId="143" applyNumberFormat="1" applyFont="1" applyFill="1" applyBorder="1" applyAlignment="1" applyProtection="1">
      <alignment vertical="center"/>
      <protection/>
    </xf>
    <xf numFmtId="173" fontId="1" fillId="0" borderId="33" xfId="96" applyNumberFormat="1" applyFont="1" applyFill="1" applyBorder="1" applyAlignment="1" applyProtection="1">
      <alignment vertical="center"/>
      <protection/>
    </xf>
    <xf numFmtId="173" fontId="1" fillId="0" borderId="34" xfId="96" applyNumberFormat="1" applyFont="1" applyFill="1" applyBorder="1" applyAlignment="1" applyProtection="1">
      <alignment vertical="center"/>
      <protection/>
    </xf>
    <xf numFmtId="170" fontId="1" fillId="0" borderId="32" xfId="99" applyFont="1" applyFill="1" applyBorder="1" applyAlignment="1" applyProtection="1">
      <alignment vertical="center"/>
      <protection/>
    </xf>
    <xf numFmtId="179" fontId="1" fillId="0" borderId="35" xfId="99" applyNumberFormat="1" applyFont="1" applyFill="1" applyBorder="1" applyAlignment="1" applyProtection="1">
      <alignment vertical="center"/>
      <protection/>
    </xf>
    <xf numFmtId="179" fontId="1" fillId="0" borderId="0" xfId="99" applyNumberFormat="1" applyFont="1" applyFill="1" applyBorder="1" applyAlignment="1" applyProtection="1">
      <alignment vertical="center"/>
      <protection/>
    </xf>
    <xf numFmtId="170" fontId="1" fillId="0" borderId="32" xfId="99" applyNumberFormat="1" applyFont="1" applyFill="1" applyBorder="1" applyAlignment="1" applyProtection="1">
      <alignment vertical="center"/>
      <protection/>
    </xf>
    <xf numFmtId="179" fontId="1" fillId="0" borderId="33" xfId="99" applyNumberFormat="1" applyFont="1" applyFill="1" applyBorder="1" applyAlignment="1" applyProtection="1">
      <alignment vertical="center"/>
      <protection/>
    </xf>
    <xf numFmtId="10" fontId="1" fillId="0" borderId="36" xfId="143" applyNumberFormat="1" applyFont="1" applyFill="1" applyBorder="1" applyAlignment="1" applyProtection="1">
      <alignment vertical="center"/>
      <protection/>
    </xf>
    <xf numFmtId="179" fontId="1" fillId="0" borderId="37" xfId="99" applyNumberFormat="1" applyFont="1" applyFill="1" applyBorder="1" applyAlignment="1" applyProtection="1">
      <alignment vertical="center"/>
      <protection/>
    </xf>
    <xf numFmtId="0" fontId="1" fillId="0" borderId="0" xfId="0" applyFont="1" applyFill="1" applyAlignment="1" applyProtection="1">
      <alignment vertical="center"/>
      <protection/>
    </xf>
    <xf numFmtId="0" fontId="3" fillId="25" borderId="38" xfId="0" applyFont="1" applyFill="1" applyBorder="1" applyAlignment="1" applyProtection="1">
      <alignment horizontal="left" vertical="center"/>
      <protection/>
    </xf>
    <xf numFmtId="0" fontId="1" fillId="25" borderId="39" xfId="0" applyFont="1" applyFill="1" applyBorder="1" applyAlignment="1" applyProtection="1">
      <alignment vertical="center"/>
      <protection/>
    </xf>
    <xf numFmtId="170" fontId="1" fillId="25" borderId="38" xfId="99" applyFont="1" applyFill="1" applyBorder="1" applyAlignment="1" applyProtection="1">
      <alignment vertical="center"/>
      <protection/>
    </xf>
    <xf numFmtId="179" fontId="1" fillId="25" borderId="40" xfId="99" applyNumberFormat="1" applyFont="1" applyFill="1" applyBorder="1" applyAlignment="1" applyProtection="1">
      <alignment vertical="center"/>
      <protection/>
    </xf>
    <xf numFmtId="179" fontId="1" fillId="25" borderId="41" xfId="99" applyNumberFormat="1" applyFont="1" applyFill="1" applyBorder="1" applyAlignment="1" applyProtection="1">
      <alignment vertical="center"/>
      <protection/>
    </xf>
    <xf numFmtId="170" fontId="1" fillId="25" borderId="38" xfId="99" applyNumberFormat="1" applyFont="1" applyFill="1" applyBorder="1" applyAlignment="1" applyProtection="1">
      <alignment vertical="center"/>
      <protection/>
    </xf>
    <xf numFmtId="179" fontId="1" fillId="25" borderId="39" xfId="99" applyNumberFormat="1" applyFont="1" applyFill="1" applyBorder="1" applyAlignment="1" applyProtection="1">
      <alignment vertical="center"/>
      <protection/>
    </xf>
    <xf numFmtId="10" fontId="1" fillId="25" borderId="41" xfId="143" applyNumberFormat="1" applyFont="1" applyFill="1" applyBorder="1" applyAlignment="1" applyProtection="1">
      <alignment vertical="center"/>
      <protection/>
    </xf>
    <xf numFmtId="179" fontId="1" fillId="25" borderId="38" xfId="99" applyNumberFormat="1" applyFont="1" applyFill="1" applyBorder="1" applyAlignment="1" applyProtection="1">
      <alignment vertical="center"/>
      <protection/>
    </xf>
    <xf numFmtId="0" fontId="1" fillId="24" borderId="11" xfId="0" applyFont="1" applyFill="1" applyBorder="1" applyAlignment="1" applyProtection="1">
      <alignment horizontal="right" vertical="center"/>
      <protection/>
    </xf>
    <xf numFmtId="170" fontId="1" fillId="24" borderId="11" xfId="99" applyNumberFormat="1" applyFont="1" applyFill="1" applyBorder="1" applyAlignment="1" applyProtection="1">
      <alignment vertical="center"/>
      <protection/>
    </xf>
    <xf numFmtId="179" fontId="1" fillId="24" borderId="12" xfId="99" applyNumberFormat="1" applyFont="1" applyFill="1" applyBorder="1" applyAlignment="1" applyProtection="1">
      <alignment vertical="center"/>
      <protection/>
    </xf>
    <xf numFmtId="0" fontId="1" fillId="0" borderId="31" xfId="0" applyFont="1" applyFill="1" applyBorder="1" applyAlignment="1" applyProtection="1">
      <alignment horizontal="right" vertical="center"/>
      <protection/>
    </xf>
    <xf numFmtId="0" fontId="1" fillId="0" borderId="42" xfId="0" applyFont="1" applyFill="1" applyBorder="1" applyAlignment="1" applyProtection="1">
      <alignment vertical="center"/>
      <protection/>
    </xf>
    <xf numFmtId="10" fontId="1" fillId="0" borderId="42" xfId="143" applyNumberFormat="1" applyFont="1" applyFill="1" applyBorder="1" applyAlignment="1" applyProtection="1">
      <alignment vertical="center"/>
      <protection/>
    </xf>
    <xf numFmtId="170" fontId="1" fillId="0" borderId="11" xfId="99" applyFont="1" applyFill="1" applyBorder="1" applyAlignment="1" applyProtection="1">
      <alignment vertical="center"/>
      <protection/>
    </xf>
    <xf numFmtId="179" fontId="1" fillId="0" borderId="30" xfId="99" applyNumberFormat="1" applyFont="1" applyFill="1" applyBorder="1" applyAlignment="1" applyProtection="1">
      <alignment vertical="center"/>
      <protection/>
    </xf>
    <xf numFmtId="179" fontId="1" fillId="0" borderId="29" xfId="99" applyNumberFormat="1" applyFont="1" applyFill="1" applyBorder="1" applyAlignment="1" applyProtection="1">
      <alignment vertical="center"/>
      <protection/>
    </xf>
    <xf numFmtId="170" fontId="1" fillId="0" borderId="11" xfId="99" applyNumberFormat="1" applyFont="1" applyFill="1" applyBorder="1" applyAlignment="1" applyProtection="1">
      <alignment vertical="center"/>
      <protection/>
    </xf>
    <xf numFmtId="179" fontId="1" fillId="0" borderId="42" xfId="99" applyNumberFormat="1" applyFont="1" applyFill="1" applyBorder="1" applyAlignment="1" applyProtection="1">
      <alignment vertical="center"/>
      <protection/>
    </xf>
    <xf numFmtId="10" fontId="1" fillId="0" borderId="29" xfId="143" applyNumberFormat="1" applyFont="1" applyFill="1" applyBorder="1" applyAlignment="1" applyProtection="1">
      <alignment vertical="center"/>
      <protection/>
    </xf>
    <xf numFmtId="10" fontId="1" fillId="0" borderId="30" xfId="143" applyNumberFormat="1" applyFont="1" applyFill="1" applyBorder="1" applyAlignment="1" applyProtection="1">
      <alignment vertical="center"/>
      <protection/>
    </xf>
    <xf numFmtId="179" fontId="1" fillId="0" borderId="31" xfId="99" applyNumberFormat="1" applyFont="1" applyFill="1" applyBorder="1" applyAlignment="1" applyProtection="1">
      <alignment vertical="center"/>
      <protection/>
    </xf>
    <xf numFmtId="0" fontId="1" fillId="24" borderId="31" xfId="0" applyFont="1" applyFill="1" applyBorder="1" applyAlignment="1" applyProtection="1">
      <alignment horizontal="left" vertical="center"/>
      <protection/>
    </xf>
    <xf numFmtId="0" fontId="1" fillId="24" borderId="42" xfId="0" applyFont="1" applyFill="1" applyBorder="1" applyAlignment="1" applyProtection="1">
      <alignment vertical="center"/>
      <protection/>
    </xf>
    <xf numFmtId="179" fontId="1" fillId="24" borderId="30" xfId="99" applyNumberFormat="1" applyFont="1" applyFill="1" applyBorder="1" applyAlignment="1" applyProtection="1">
      <alignment vertical="center"/>
      <protection/>
    </xf>
    <xf numFmtId="179" fontId="1" fillId="24" borderId="29" xfId="99" applyNumberFormat="1" applyFont="1" applyFill="1" applyBorder="1" applyAlignment="1" applyProtection="1">
      <alignment vertical="center"/>
      <protection/>
    </xf>
    <xf numFmtId="179" fontId="1" fillId="24" borderId="42" xfId="99" applyNumberFormat="1" applyFont="1" applyFill="1" applyBorder="1" applyAlignment="1" applyProtection="1">
      <alignment vertical="center"/>
      <protection/>
    </xf>
    <xf numFmtId="170" fontId="1" fillId="0" borderId="31" xfId="99" applyFont="1" applyFill="1" applyBorder="1" applyAlignment="1" applyProtection="1">
      <alignment vertical="center"/>
      <protection/>
    </xf>
    <xf numFmtId="170" fontId="1" fillId="0" borderId="31" xfId="99" applyNumberFormat="1" applyFont="1" applyFill="1" applyBorder="1" applyAlignment="1" applyProtection="1">
      <alignment vertical="center"/>
      <protection/>
    </xf>
    <xf numFmtId="0" fontId="1" fillId="24" borderId="43" xfId="0" applyFont="1" applyFill="1" applyBorder="1" applyAlignment="1" applyProtection="1">
      <alignment horizontal="right" vertical="center"/>
      <protection/>
    </xf>
    <xf numFmtId="0" fontId="1" fillId="24" borderId="44" xfId="0" applyFont="1" applyFill="1" applyBorder="1" applyAlignment="1" applyProtection="1">
      <alignment vertical="center"/>
      <protection/>
    </xf>
    <xf numFmtId="170" fontId="1" fillId="24" borderId="43" xfId="99" applyFont="1" applyFill="1" applyBorder="1" applyAlignment="1" applyProtection="1">
      <alignment vertical="center"/>
      <protection/>
    </xf>
    <xf numFmtId="179" fontId="17" fillId="24" borderId="45" xfId="99" applyNumberFormat="1" applyFont="1" applyFill="1" applyBorder="1" applyAlignment="1" applyProtection="1">
      <alignment vertical="center"/>
      <protection/>
    </xf>
    <xf numFmtId="179" fontId="1" fillId="24" borderId="46" xfId="99" applyNumberFormat="1" applyFont="1" applyFill="1" applyBorder="1" applyAlignment="1" applyProtection="1">
      <alignment vertical="center"/>
      <protection/>
    </xf>
    <xf numFmtId="170" fontId="1" fillId="24" borderId="43" xfId="99" applyNumberFormat="1" applyFont="1" applyFill="1" applyBorder="1" applyAlignment="1" applyProtection="1">
      <alignment vertical="center"/>
      <protection/>
    </xf>
    <xf numFmtId="179" fontId="17" fillId="24" borderId="44" xfId="99" applyNumberFormat="1" applyFont="1" applyFill="1" applyBorder="1" applyAlignment="1" applyProtection="1">
      <alignment vertical="center"/>
      <protection/>
    </xf>
    <xf numFmtId="10" fontId="1" fillId="24" borderId="46" xfId="143" applyNumberFormat="1" applyFont="1" applyFill="1" applyBorder="1" applyAlignment="1" applyProtection="1">
      <alignment vertical="center"/>
      <protection/>
    </xf>
    <xf numFmtId="179" fontId="17" fillId="24" borderId="43" xfId="99" applyNumberFormat="1" applyFont="1" applyFill="1" applyBorder="1" applyAlignment="1" applyProtection="1">
      <alignment vertical="center"/>
      <protection/>
    </xf>
    <xf numFmtId="0" fontId="1" fillId="0" borderId="47" xfId="0" applyFont="1" applyBorder="1" applyAlignment="1" applyProtection="1">
      <alignment vertical="center"/>
      <protection/>
    </xf>
    <xf numFmtId="0" fontId="1" fillId="0" borderId="48" xfId="0" applyFont="1" applyBorder="1" applyAlignment="1" applyProtection="1">
      <alignment vertical="center"/>
      <protection/>
    </xf>
    <xf numFmtId="173" fontId="0" fillId="0" borderId="0" xfId="96" applyNumberFormat="1" applyFont="1" applyAlignment="1" applyProtection="1">
      <alignment vertical="center"/>
      <protection/>
    </xf>
    <xf numFmtId="173" fontId="0" fillId="0" borderId="0" xfId="0" applyNumberFormat="1" applyAlignment="1" applyProtection="1">
      <alignment vertical="center"/>
      <protection/>
    </xf>
    <xf numFmtId="0" fontId="0" fillId="0" borderId="0" xfId="0" applyFill="1" applyAlignment="1" applyProtection="1">
      <alignment vertical="center"/>
      <protection/>
    </xf>
    <xf numFmtId="0" fontId="3" fillId="0" borderId="0" xfId="0" applyFont="1" applyAlignment="1" applyProtection="1">
      <alignment vertical="center"/>
      <protection/>
    </xf>
    <xf numFmtId="173" fontId="0" fillId="0" borderId="0" xfId="96" applyNumberFormat="1" applyFont="1" applyFill="1" applyBorder="1" applyAlignment="1" applyProtection="1">
      <alignment vertical="center"/>
      <protection/>
    </xf>
    <xf numFmtId="0" fontId="1" fillId="0" borderId="32" xfId="0" applyFont="1" applyBorder="1" applyAlignment="1" applyProtection="1">
      <alignment horizontal="center" vertical="center"/>
      <protection/>
    </xf>
    <xf numFmtId="0" fontId="0" fillId="0" borderId="49" xfId="0" applyBorder="1" applyAlignment="1" applyProtection="1">
      <alignment horizontal="center" vertical="center"/>
      <protection/>
    </xf>
    <xf numFmtId="0" fontId="0" fillId="0" borderId="50" xfId="0" applyBorder="1" applyAlignment="1" applyProtection="1">
      <alignment horizontal="center" vertical="center"/>
      <protection/>
    </xf>
    <xf numFmtId="0" fontId="1" fillId="0" borderId="32" xfId="0" applyFont="1" applyBorder="1" applyAlignment="1" applyProtection="1">
      <alignment vertical="center"/>
      <protection/>
    </xf>
    <xf numFmtId="9" fontId="3" fillId="26" borderId="35" xfId="0" applyNumberFormat="1" applyFont="1" applyFill="1" applyBorder="1" applyAlignment="1" applyProtection="1">
      <alignment vertical="center"/>
      <protection/>
    </xf>
    <xf numFmtId="9" fontId="9" fillId="27" borderId="51" xfId="0" applyNumberFormat="1" applyFont="1" applyFill="1" applyBorder="1" applyAlignment="1" applyProtection="1">
      <alignment vertical="center"/>
      <protection/>
    </xf>
    <xf numFmtId="0" fontId="1" fillId="28" borderId="51" xfId="0" applyFont="1" applyFill="1" applyBorder="1" applyAlignment="1" applyProtection="1">
      <alignment vertical="center"/>
      <protection/>
    </xf>
    <xf numFmtId="179" fontId="1" fillId="29" borderId="12" xfId="99" applyNumberFormat="1" applyFont="1" applyFill="1" applyBorder="1" applyAlignment="1" applyProtection="1">
      <alignment vertical="center"/>
      <protection/>
    </xf>
    <xf numFmtId="179" fontId="1" fillId="30" borderId="12" xfId="99" applyNumberFormat="1" applyFont="1" applyFill="1" applyBorder="1" applyAlignment="1" applyProtection="1">
      <alignment vertical="center"/>
      <protection/>
    </xf>
    <xf numFmtId="0" fontId="8" fillId="31" borderId="51" xfId="0" applyFont="1" applyFill="1" applyBorder="1" applyAlignment="1" applyProtection="1">
      <alignment horizontal="center" vertical="center"/>
      <protection/>
    </xf>
    <xf numFmtId="0" fontId="1" fillId="32" borderId="33" xfId="0" applyFont="1" applyFill="1" applyBorder="1" applyAlignment="1" applyProtection="1">
      <alignment vertical="center"/>
      <protection/>
    </xf>
    <xf numFmtId="0" fontId="1" fillId="33" borderId="51" xfId="0" applyFont="1" applyFill="1" applyBorder="1" applyAlignment="1" applyProtection="1">
      <alignment vertical="center"/>
      <protection/>
    </xf>
    <xf numFmtId="0" fontId="1" fillId="0" borderId="52" xfId="0" applyFont="1" applyBorder="1" applyAlignment="1" applyProtection="1">
      <alignment vertical="center"/>
      <protection/>
    </xf>
    <xf numFmtId="0" fontId="1" fillId="0" borderId="35" xfId="0" applyFont="1" applyBorder="1" applyAlignment="1" applyProtection="1">
      <alignment vertical="center"/>
      <protection/>
    </xf>
    <xf numFmtId="0" fontId="3" fillId="0" borderId="11" xfId="0" applyFont="1" applyFill="1" applyBorder="1" applyAlignment="1" applyProtection="1">
      <alignment horizontal="left" vertical="center"/>
      <protection/>
    </xf>
    <xf numFmtId="0" fontId="1" fillId="0" borderId="14" xfId="0" applyFont="1" applyFill="1" applyBorder="1" applyAlignment="1" applyProtection="1">
      <alignment vertical="center"/>
      <protection/>
    </xf>
    <xf numFmtId="10" fontId="1" fillId="0" borderId="12" xfId="143" applyNumberFormat="1" applyFont="1" applyFill="1" applyBorder="1" applyAlignment="1" applyProtection="1">
      <alignment vertical="center"/>
      <protection/>
    </xf>
    <xf numFmtId="10" fontId="1" fillId="0" borderId="14" xfId="143" applyNumberFormat="1" applyFont="1" applyFill="1" applyBorder="1" applyAlignment="1" applyProtection="1">
      <alignment vertical="center"/>
      <protection/>
    </xf>
    <xf numFmtId="179" fontId="1" fillId="26" borderId="14" xfId="99" applyNumberFormat="1" applyFont="1" applyFill="1" applyBorder="1" applyAlignment="1" applyProtection="1">
      <alignment vertical="center"/>
      <protection/>
    </xf>
    <xf numFmtId="170" fontId="10" fillId="26" borderId="53" xfId="99" applyNumberFormat="1" applyFont="1" applyFill="1" applyBorder="1" applyAlignment="1" applyProtection="1">
      <alignment vertical="center"/>
      <protection/>
    </xf>
    <xf numFmtId="179" fontId="1" fillId="34" borderId="14" xfId="99" applyNumberFormat="1" applyFont="1" applyFill="1" applyBorder="1" applyAlignment="1" applyProtection="1">
      <alignment vertical="center"/>
      <protection/>
    </xf>
    <xf numFmtId="170" fontId="10" fillId="34" borderId="53" xfId="99" applyNumberFormat="1" applyFont="1" applyFill="1" applyBorder="1" applyAlignment="1" applyProtection="1">
      <alignment vertical="center"/>
      <protection/>
    </xf>
    <xf numFmtId="179" fontId="1" fillId="27" borderId="14" xfId="99" applyNumberFormat="1" applyFont="1" applyFill="1" applyBorder="1" applyAlignment="1" applyProtection="1">
      <alignment vertical="center"/>
      <protection/>
    </xf>
    <xf numFmtId="170" fontId="10" fillId="27" borderId="53" xfId="99" applyNumberFormat="1" applyFont="1" applyFill="1" applyBorder="1" applyAlignment="1" applyProtection="1">
      <alignment vertical="center"/>
      <protection/>
    </xf>
    <xf numFmtId="179" fontId="1" fillId="28" borderId="53" xfId="99" applyNumberFormat="1" applyFont="1" applyFill="1" applyBorder="1" applyAlignment="1" applyProtection="1">
      <alignment vertical="center"/>
      <protection/>
    </xf>
    <xf numFmtId="3" fontId="0" fillId="30" borderId="12" xfId="99" applyNumberFormat="1" applyFont="1" applyFill="1" applyBorder="1" applyAlignment="1" applyProtection="1">
      <alignment vertical="center"/>
      <protection/>
    </xf>
    <xf numFmtId="3" fontId="8" fillId="31" borderId="53" xfId="99" applyNumberFormat="1" applyFont="1" applyFill="1" applyBorder="1" applyAlignment="1" applyProtection="1">
      <alignment horizontal="center" vertical="center"/>
      <protection/>
    </xf>
    <xf numFmtId="3" fontId="1" fillId="32" borderId="12" xfId="99" applyNumberFormat="1" applyFont="1" applyFill="1" applyBorder="1" applyAlignment="1" applyProtection="1">
      <alignment vertical="center"/>
      <protection/>
    </xf>
    <xf numFmtId="179" fontId="1" fillId="33" borderId="53" xfId="99" applyNumberFormat="1" applyFont="1" applyFill="1" applyBorder="1" applyAlignment="1" applyProtection="1">
      <alignment vertical="center"/>
      <protection/>
    </xf>
    <xf numFmtId="170" fontId="1" fillId="25" borderId="54" xfId="99" applyFont="1" applyFill="1" applyBorder="1" applyAlignment="1" applyProtection="1">
      <alignment vertical="center"/>
      <protection/>
    </xf>
    <xf numFmtId="183" fontId="1" fillId="25" borderId="14" xfId="96" applyNumberFormat="1" applyFont="1" applyFill="1" applyBorder="1" applyAlignment="1" applyProtection="1">
      <alignment vertical="center"/>
      <protection/>
    </xf>
    <xf numFmtId="0" fontId="1" fillId="0" borderId="55" xfId="0" applyFont="1" applyFill="1" applyBorder="1" applyAlignment="1" applyProtection="1">
      <alignment horizontal="left" vertical="center"/>
      <protection/>
    </xf>
    <xf numFmtId="179" fontId="0" fillId="26" borderId="18" xfId="99" applyNumberFormat="1" applyFont="1" applyFill="1" applyBorder="1" applyAlignment="1" applyProtection="1">
      <alignment vertical="center"/>
      <protection/>
    </xf>
    <xf numFmtId="170" fontId="10" fillId="26" borderId="56" xfId="99" applyNumberFormat="1" applyFont="1" applyFill="1" applyBorder="1" applyAlignment="1" applyProtection="1">
      <alignment vertical="center"/>
      <protection/>
    </xf>
    <xf numFmtId="179" fontId="0" fillId="34" borderId="18" xfId="99" applyNumberFormat="1" applyFont="1" applyFill="1" applyBorder="1" applyAlignment="1" applyProtection="1">
      <alignment vertical="center"/>
      <protection/>
    </xf>
    <xf numFmtId="170" fontId="10" fillId="34" borderId="56" xfId="99" applyNumberFormat="1" applyFont="1" applyFill="1" applyBorder="1" applyAlignment="1" applyProtection="1">
      <alignment vertical="center"/>
      <protection/>
    </xf>
    <xf numFmtId="179" fontId="0" fillId="27" borderId="18" xfId="99" applyNumberFormat="1" applyFont="1" applyFill="1" applyBorder="1" applyAlignment="1" applyProtection="1">
      <alignment vertical="center"/>
      <protection/>
    </xf>
    <xf numFmtId="170" fontId="10" fillId="27" borderId="56" xfId="99" applyNumberFormat="1" applyFont="1" applyFill="1" applyBorder="1" applyAlignment="1" applyProtection="1">
      <alignment vertical="center"/>
      <protection/>
    </xf>
    <xf numFmtId="179" fontId="0" fillId="28" borderId="57" xfId="99" applyNumberFormat="1" applyFont="1" applyFill="1" applyBorder="1" applyAlignment="1" applyProtection="1">
      <alignment vertical="center"/>
      <protection/>
    </xf>
    <xf numFmtId="179" fontId="0" fillId="29" borderId="19" xfId="99" applyNumberFormat="1" applyFont="1" applyFill="1" applyBorder="1" applyAlignment="1" applyProtection="1">
      <alignment vertical="center"/>
      <protection/>
    </xf>
    <xf numFmtId="179" fontId="0" fillId="31" borderId="57" xfId="99" applyNumberFormat="1" applyFont="1" applyFill="1" applyBorder="1" applyAlignment="1" applyProtection="1">
      <alignment vertical="center"/>
      <protection/>
    </xf>
    <xf numFmtId="179" fontId="0" fillId="32" borderId="58" xfId="99" applyNumberFormat="1" applyFont="1" applyFill="1" applyBorder="1" applyAlignment="1" applyProtection="1">
      <alignment vertical="center"/>
      <protection/>
    </xf>
    <xf numFmtId="179" fontId="0" fillId="33" borderId="57" xfId="99" applyNumberFormat="1" applyFont="1" applyFill="1" applyBorder="1" applyAlignment="1" applyProtection="1">
      <alignment vertical="center"/>
      <protection/>
    </xf>
    <xf numFmtId="187" fontId="1" fillId="0" borderId="59" xfId="99" applyNumberFormat="1" applyFont="1" applyFill="1" applyBorder="1" applyAlignment="1" applyProtection="1">
      <alignment horizontal="center" vertical="center"/>
      <protection/>
    </xf>
    <xf numFmtId="184" fontId="1" fillId="0" borderId="17" xfId="96" applyNumberFormat="1" applyFont="1" applyFill="1" applyBorder="1" applyAlignment="1" applyProtection="1">
      <alignment horizontal="center" vertical="center"/>
      <protection/>
    </xf>
    <xf numFmtId="0" fontId="1" fillId="0" borderId="16" xfId="0" applyFont="1" applyFill="1" applyBorder="1" applyAlignment="1" applyProtection="1">
      <alignment horizontal="left" vertical="center"/>
      <protection/>
    </xf>
    <xf numFmtId="179" fontId="0" fillId="32" borderId="19" xfId="99" applyNumberFormat="1" applyFont="1" applyFill="1" applyBorder="1" applyAlignment="1" applyProtection="1">
      <alignment vertical="center"/>
      <protection/>
    </xf>
    <xf numFmtId="0" fontId="0" fillId="0" borderId="18" xfId="0" applyFill="1" applyBorder="1" applyAlignment="1" applyProtection="1">
      <alignment vertical="center"/>
      <protection/>
    </xf>
    <xf numFmtId="170" fontId="10" fillId="26" borderId="60" xfId="99" applyNumberFormat="1" applyFont="1" applyFill="1" applyBorder="1" applyAlignment="1" applyProtection="1">
      <alignment vertical="center"/>
      <protection/>
    </xf>
    <xf numFmtId="170" fontId="10" fillId="34" borderId="60" xfId="99" applyNumberFormat="1" applyFont="1" applyFill="1" applyBorder="1" applyAlignment="1" applyProtection="1">
      <alignment vertical="center"/>
      <protection/>
    </xf>
    <xf numFmtId="170" fontId="10" fillId="27" borderId="60" xfId="99" applyNumberFormat="1" applyFont="1" applyFill="1" applyBorder="1" applyAlignment="1" applyProtection="1">
      <alignment vertical="center"/>
      <protection/>
    </xf>
    <xf numFmtId="184" fontId="1" fillId="0" borderId="18" xfId="96" applyNumberFormat="1" applyFont="1" applyFill="1" applyBorder="1" applyAlignment="1" applyProtection="1">
      <alignment horizontal="center" vertical="center"/>
      <protection/>
    </xf>
    <xf numFmtId="0" fontId="0" fillId="0" borderId="61" xfId="0" applyFill="1" applyBorder="1" applyAlignment="1" applyProtection="1">
      <alignment vertical="center"/>
      <protection/>
    </xf>
    <xf numFmtId="179" fontId="0" fillId="34" borderId="61" xfId="99" applyNumberFormat="1" applyFont="1" applyFill="1" applyBorder="1" applyAlignment="1" applyProtection="1">
      <alignment vertical="center"/>
      <protection/>
    </xf>
    <xf numFmtId="179" fontId="0" fillId="27" borderId="61" xfId="99" applyNumberFormat="1" applyFont="1" applyFill="1" applyBorder="1" applyAlignment="1" applyProtection="1">
      <alignment vertical="center"/>
      <protection/>
    </xf>
    <xf numFmtId="179" fontId="0" fillId="28" borderId="60" xfId="99" applyNumberFormat="1" applyFont="1" applyFill="1" applyBorder="1" applyAlignment="1" applyProtection="1">
      <alignment vertical="center"/>
      <protection/>
    </xf>
    <xf numFmtId="179" fontId="0" fillId="32" borderId="21" xfId="99" applyNumberFormat="1" applyFont="1" applyFill="1" applyBorder="1" applyAlignment="1" applyProtection="1">
      <alignment vertical="center"/>
      <protection/>
    </xf>
    <xf numFmtId="187" fontId="1" fillId="0" borderId="62" xfId="99" applyNumberFormat="1" applyFont="1" applyFill="1" applyBorder="1" applyAlignment="1" applyProtection="1">
      <alignment horizontal="center" vertical="center"/>
      <protection/>
    </xf>
    <xf numFmtId="184" fontId="1" fillId="0" borderId="61" xfId="96" applyNumberFormat="1" applyFont="1" applyFill="1" applyBorder="1" applyAlignment="1" applyProtection="1">
      <alignment horizontal="center" vertical="center"/>
      <protection/>
    </xf>
    <xf numFmtId="0" fontId="0" fillId="0" borderId="63" xfId="0" applyFill="1" applyBorder="1" applyAlignment="1" applyProtection="1">
      <alignment vertical="center"/>
      <protection/>
    </xf>
    <xf numFmtId="179" fontId="0" fillId="34" borderId="63" xfId="99" applyNumberFormat="1" applyFont="1" applyFill="1" applyBorder="1" applyAlignment="1" applyProtection="1">
      <alignment vertical="center"/>
      <protection/>
    </xf>
    <xf numFmtId="179" fontId="0" fillId="27" borderId="63" xfId="99" applyNumberFormat="1" applyFont="1" applyFill="1" applyBorder="1" applyAlignment="1" applyProtection="1">
      <alignment vertical="center"/>
      <protection/>
    </xf>
    <xf numFmtId="179" fontId="0" fillId="28" borderId="64" xfId="99" applyNumberFormat="1" applyFont="1" applyFill="1" applyBorder="1" applyAlignment="1" applyProtection="1">
      <alignment vertical="center"/>
      <protection/>
    </xf>
    <xf numFmtId="179" fontId="0" fillId="32" borderId="23" xfId="99" applyNumberFormat="1" applyFont="1" applyFill="1" applyBorder="1" applyAlignment="1" applyProtection="1">
      <alignment vertical="center"/>
      <protection/>
    </xf>
    <xf numFmtId="187" fontId="1" fillId="35" borderId="65" xfId="0" applyNumberFormat="1" applyFont="1" applyFill="1" applyBorder="1" applyAlignment="1" applyProtection="1">
      <alignment horizontal="center" vertical="center"/>
      <protection/>
    </xf>
    <xf numFmtId="184" fontId="1" fillId="0" borderId="50" xfId="96" applyNumberFormat="1" applyFont="1" applyFill="1" applyBorder="1" applyAlignment="1" applyProtection="1">
      <alignment horizontal="center" vertical="center"/>
      <protection/>
    </xf>
    <xf numFmtId="0" fontId="1" fillId="25" borderId="24" xfId="0" applyFont="1" applyFill="1" applyBorder="1" applyAlignment="1" applyProtection="1">
      <alignment horizontal="left" vertical="center"/>
      <protection/>
    </xf>
    <xf numFmtId="0" fontId="1" fillId="25" borderId="27" xfId="0" applyFont="1" applyFill="1" applyBorder="1" applyAlignment="1" applyProtection="1">
      <alignment vertical="center"/>
      <protection/>
    </xf>
    <xf numFmtId="179" fontId="1" fillId="26" borderId="27" xfId="99" applyNumberFormat="1" applyFont="1" applyFill="1" applyBorder="1" applyAlignment="1" applyProtection="1">
      <alignment vertical="center"/>
      <protection/>
    </xf>
    <xf numFmtId="170" fontId="10" fillId="26" borderId="66" xfId="99" applyNumberFormat="1" applyFont="1" applyFill="1" applyBorder="1" applyAlignment="1" applyProtection="1">
      <alignment vertical="center"/>
      <protection/>
    </xf>
    <xf numFmtId="179" fontId="1" fillId="34" borderId="27" xfId="99" applyNumberFormat="1" applyFont="1" applyFill="1" applyBorder="1" applyAlignment="1" applyProtection="1">
      <alignment vertical="center"/>
      <protection/>
    </xf>
    <xf numFmtId="170" fontId="10" fillId="34" borderId="66" xfId="99" applyNumberFormat="1" applyFont="1" applyFill="1" applyBorder="1" applyAlignment="1" applyProtection="1">
      <alignment vertical="center"/>
      <protection/>
    </xf>
    <xf numFmtId="179" fontId="1" fillId="27" borderId="27" xfId="99" applyNumberFormat="1" applyFont="1" applyFill="1" applyBorder="1" applyAlignment="1" applyProtection="1">
      <alignment vertical="center"/>
      <protection/>
    </xf>
    <xf numFmtId="170" fontId="10" fillId="27" borderId="66" xfId="99" applyNumberFormat="1" applyFont="1" applyFill="1" applyBorder="1" applyAlignment="1" applyProtection="1">
      <alignment vertical="center"/>
      <protection/>
    </xf>
    <xf numFmtId="179" fontId="1" fillId="28" borderId="66" xfId="99" applyNumberFormat="1" applyFont="1" applyFill="1" applyBorder="1" applyAlignment="1" applyProtection="1">
      <alignment vertical="center"/>
      <protection/>
    </xf>
    <xf numFmtId="179" fontId="1" fillId="29" borderId="25" xfId="99" applyNumberFormat="1" applyFont="1" applyFill="1" applyBorder="1" applyAlignment="1" applyProtection="1">
      <alignment vertical="center"/>
      <protection/>
    </xf>
    <xf numFmtId="179" fontId="1" fillId="31" borderId="66" xfId="99" applyNumberFormat="1" applyFont="1" applyFill="1" applyBorder="1" applyAlignment="1" applyProtection="1">
      <alignment vertical="center"/>
      <protection/>
    </xf>
    <xf numFmtId="179" fontId="1" fillId="32" borderId="25" xfId="99" applyNumberFormat="1" applyFont="1" applyFill="1" applyBorder="1" applyAlignment="1" applyProtection="1">
      <alignment vertical="center"/>
      <protection/>
    </xf>
    <xf numFmtId="179" fontId="1" fillId="33" borderId="66" xfId="99" applyNumberFormat="1" applyFont="1" applyFill="1" applyBorder="1" applyAlignment="1" applyProtection="1">
      <alignment vertical="center"/>
      <protection/>
    </xf>
    <xf numFmtId="187" fontId="1" fillId="24" borderId="48" xfId="0" applyNumberFormat="1" applyFont="1" applyFill="1" applyBorder="1" applyAlignment="1" applyProtection="1">
      <alignment horizontal="center" vertical="center"/>
      <protection/>
    </xf>
    <xf numFmtId="184" fontId="1" fillId="25" borderId="27" xfId="96" applyNumberFormat="1" applyFont="1" applyFill="1" applyBorder="1" applyAlignment="1" applyProtection="1">
      <alignment horizontal="center" vertical="center"/>
      <protection/>
    </xf>
    <xf numFmtId="0" fontId="1" fillId="0" borderId="32" xfId="0" applyFont="1" applyFill="1" applyBorder="1" applyAlignment="1" applyProtection="1">
      <alignment horizontal="left" vertical="center"/>
      <protection/>
    </xf>
    <xf numFmtId="0" fontId="1" fillId="0" borderId="35" xfId="0" applyFont="1" applyFill="1" applyBorder="1" applyAlignment="1" applyProtection="1">
      <alignment vertical="center"/>
      <protection/>
    </xf>
    <xf numFmtId="10" fontId="1" fillId="0" borderId="35" xfId="143" applyNumberFormat="1" applyFont="1" applyFill="1" applyBorder="1" applyAlignment="1" applyProtection="1">
      <alignment vertical="center"/>
      <protection/>
    </xf>
    <xf numFmtId="179" fontId="1" fillId="26" borderId="35" xfId="99" applyNumberFormat="1" applyFont="1" applyFill="1" applyBorder="1" applyAlignment="1" applyProtection="1">
      <alignment vertical="center"/>
      <protection/>
    </xf>
    <xf numFmtId="170" fontId="10" fillId="26" borderId="51" xfId="99" applyNumberFormat="1" applyFont="1" applyFill="1" applyBorder="1" applyAlignment="1" applyProtection="1">
      <alignment vertical="center"/>
      <protection/>
    </xf>
    <xf numFmtId="179" fontId="1" fillId="34" borderId="35" xfId="99" applyNumberFormat="1" applyFont="1" applyFill="1" applyBorder="1" applyAlignment="1" applyProtection="1">
      <alignment vertical="center"/>
      <protection/>
    </xf>
    <xf numFmtId="170" fontId="10" fillId="34" borderId="51" xfId="99" applyNumberFormat="1" applyFont="1" applyFill="1" applyBorder="1" applyAlignment="1" applyProtection="1">
      <alignment vertical="center"/>
      <protection/>
    </xf>
    <xf numFmtId="179" fontId="1" fillId="27" borderId="35" xfId="99" applyNumberFormat="1" applyFont="1" applyFill="1" applyBorder="1" applyAlignment="1" applyProtection="1">
      <alignment vertical="center"/>
      <protection/>
    </xf>
    <xf numFmtId="170" fontId="10" fillId="27" borderId="51" xfId="99" applyNumberFormat="1" applyFont="1" applyFill="1" applyBorder="1" applyAlignment="1" applyProtection="1">
      <alignment vertical="center"/>
      <protection/>
    </xf>
    <xf numFmtId="179" fontId="1" fillId="28" borderId="51" xfId="99" applyNumberFormat="1" applyFont="1" applyFill="1" applyBorder="1" applyAlignment="1" applyProtection="1">
      <alignment vertical="center"/>
      <protection/>
    </xf>
    <xf numFmtId="179" fontId="1" fillId="29" borderId="33" xfId="99" applyNumberFormat="1" applyFont="1" applyFill="1" applyBorder="1" applyAlignment="1" applyProtection="1">
      <alignment vertical="center"/>
      <protection/>
    </xf>
    <xf numFmtId="179" fontId="1" fillId="31" borderId="51" xfId="99" applyNumberFormat="1" applyFont="1" applyFill="1" applyBorder="1" applyAlignment="1" applyProtection="1">
      <alignment vertical="center"/>
      <protection/>
    </xf>
    <xf numFmtId="179" fontId="1" fillId="32" borderId="33" xfId="99" applyNumberFormat="1" applyFont="1" applyFill="1" applyBorder="1" applyAlignment="1" applyProtection="1">
      <alignment vertical="center"/>
      <protection/>
    </xf>
    <xf numFmtId="179" fontId="1" fillId="33" borderId="51" xfId="99" applyNumberFormat="1" applyFont="1" applyFill="1" applyBorder="1" applyAlignment="1" applyProtection="1">
      <alignment vertical="center"/>
      <protection/>
    </xf>
    <xf numFmtId="187" fontId="1" fillId="0" borderId="52" xfId="0" applyNumberFormat="1" applyFont="1" applyFill="1" applyBorder="1" applyAlignment="1" applyProtection="1">
      <alignment horizontal="center" vertical="center"/>
      <protection/>
    </xf>
    <xf numFmtId="184" fontId="1" fillId="0" borderId="35" xfId="96" applyNumberFormat="1" applyFont="1" applyFill="1" applyBorder="1" applyAlignment="1" applyProtection="1">
      <alignment horizontal="center" vertical="center"/>
      <protection/>
    </xf>
    <xf numFmtId="0" fontId="3" fillId="36" borderId="38" xfId="0" applyFont="1" applyFill="1" applyBorder="1" applyAlignment="1" applyProtection="1">
      <alignment horizontal="left" vertical="center"/>
      <protection/>
    </xf>
    <xf numFmtId="0" fontId="1" fillId="36" borderId="40" xfId="0" applyFont="1" applyFill="1" applyBorder="1" applyAlignment="1" applyProtection="1">
      <alignment vertical="center"/>
      <protection/>
    </xf>
    <xf numFmtId="10" fontId="1" fillId="36" borderId="39" xfId="143" applyNumberFormat="1" applyFont="1" applyFill="1" applyBorder="1" applyAlignment="1" applyProtection="1">
      <alignment vertical="center"/>
      <protection/>
    </xf>
    <xf numFmtId="10" fontId="1" fillId="36" borderId="40" xfId="143" applyNumberFormat="1" applyFont="1" applyFill="1" applyBorder="1" applyAlignment="1" applyProtection="1">
      <alignment vertical="center"/>
      <protection/>
    </xf>
    <xf numFmtId="10" fontId="1" fillId="26" borderId="38" xfId="143" applyNumberFormat="1" applyFont="1" applyFill="1" applyBorder="1" applyAlignment="1" applyProtection="1">
      <alignment vertical="center"/>
      <protection/>
    </xf>
    <xf numFmtId="179" fontId="1" fillId="26" borderId="40" xfId="99" applyNumberFormat="1" applyFont="1" applyFill="1" applyBorder="1" applyAlignment="1" applyProtection="1">
      <alignment vertical="center"/>
      <protection/>
    </xf>
    <xf numFmtId="170" fontId="10" fillId="26" borderId="67" xfId="99" applyNumberFormat="1" applyFont="1" applyFill="1" applyBorder="1" applyAlignment="1" applyProtection="1">
      <alignment vertical="center"/>
      <protection/>
    </xf>
    <xf numFmtId="179" fontId="1" fillId="34" borderId="40" xfId="99" applyNumberFormat="1" applyFont="1" applyFill="1" applyBorder="1" applyAlignment="1" applyProtection="1">
      <alignment vertical="center"/>
      <protection/>
    </xf>
    <xf numFmtId="170" fontId="10" fillId="34" borderId="67" xfId="99" applyNumberFormat="1" applyFont="1" applyFill="1" applyBorder="1" applyAlignment="1" applyProtection="1">
      <alignment vertical="center"/>
      <protection/>
    </xf>
    <xf numFmtId="179" fontId="1" fillId="27" borderId="40" xfId="99" applyNumberFormat="1" applyFont="1" applyFill="1" applyBorder="1" applyAlignment="1" applyProtection="1">
      <alignment vertical="center"/>
      <protection/>
    </xf>
    <xf numFmtId="170" fontId="10" fillId="27" borderId="67" xfId="99" applyNumberFormat="1" applyFont="1" applyFill="1" applyBorder="1" applyAlignment="1" applyProtection="1">
      <alignment vertical="center"/>
      <protection/>
    </xf>
    <xf numFmtId="179" fontId="1" fillId="28" borderId="67" xfId="99" applyNumberFormat="1" applyFont="1" applyFill="1" applyBorder="1" applyAlignment="1" applyProtection="1">
      <alignment vertical="center"/>
      <protection/>
    </xf>
    <xf numFmtId="179" fontId="1" fillId="29" borderId="39" xfId="99" applyNumberFormat="1" applyFont="1" applyFill="1" applyBorder="1" applyAlignment="1" applyProtection="1">
      <alignment vertical="center"/>
      <protection/>
    </xf>
    <xf numFmtId="179" fontId="1" fillId="31" borderId="67" xfId="99" applyNumberFormat="1" applyFont="1" applyFill="1" applyBorder="1" applyAlignment="1" applyProtection="1">
      <alignment vertical="center"/>
      <protection/>
    </xf>
    <xf numFmtId="179" fontId="1" fillId="32" borderId="39" xfId="99" applyNumberFormat="1" applyFont="1" applyFill="1" applyBorder="1" applyAlignment="1" applyProtection="1">
      <alignment vertical="center"/>
      <protection/>
    </xf>
    <xf numFmtId="179" fontId="1" fillId="33" borderId="67" xfId="99" applyNumberFormat="1" applyFont="1" applyFill="1" applyBorder="1" applyAlignment="1" applyProtection="1">
      <alignment vertical="center"/>
      <protection/>
    </xf>
    <xf numFmtId="187" fontId="1" fillId="36" borderId="68" xfId="0" applyNumberFormat="1" applyFont="1" applyFill="1" applyBorder="1" applyAlignment="1" applyProtection="1">
      <alignment horizontal="center" vertical="center"/>
      <protection/>
    </xf>
    <xf numFmtId="184" fontId="1" fillId="36" borderId="40" xfId="96" applyNumberFormat="1" applyFont="1" applyFill="1" applyBorder="1" applyAlignment="1" applyProtection="1">
      <alignment horizontal="center" vertical="center"/>
      <protection/>
    </xf>
    <xf numFmtId="187" fontId="1" fillId="35" borderId="59" xfId="0" applyNumberFormat="1" applyFont="1" applyFill="1" applyBorder="1" applyAlignment="1" applyProtection="1">
      <alignment horizontal="center" vertical="center"/>
      <protection/>
    </xf>
    <xf numFmtId="187" fontId="1" fillId="35" borderId="62" xfId="0" applyNumberFormat="1" applyFont="1" applyFill="1" applyBorder="1" applyAlignment="1" applyProtection="1">
      <alignment horizontal="center" vertical="center"/>
      <protection/>
    </xf>
    <xf numFmtId="179" fontId="0" fillId="33" borderId="51" xfId="99" applyNumberFormat="1" applyFont="1" applyFill="1" applyBorder="1" applyAlignment="1" applyProtection="1">
      <alignment vertical="center"/>
      <protection/>
    </xf>
    <xf numFmtId="0" fontId="1" fillId="25" borderId="11" xfId="0" applyFont="1" applyFill="1" applyBorder="1" applyAlignment="1" applyProtection="1">
      <alignment horizontal="left" vertical="center"/>
      <protection/>
    </xf>
    <xf numFmtId="0" fontId="1" fillId="25" borderId="14" xfId="0" applyFont="1" applyFill="1" applyBorder="1" applyAlignment="1" applyProtection="1">
      <alignment vertical="center"/>
      <protection/>
    </xf>
    <xf numFmtId="179" fontId="1" fillId="31" borderId="53" xfId="99" applyNumberFormat="1" applyFont="1" applyFill="1" applyBorder="1" applyAlignment="1" applyProtection="1">
      <alignment vertical="center"/>
      <protection/>
    </xf>
    <xf numFmtId="179" fontId="1" fillId="32" borderId="12" xfId="99" applyNumberFormat="1" applyFont="1" applyFill="1" applyBorder="1" applyAlignment="1" applyProtection="1">
      <alignment vertical="center"/>
      <protection/>
    </xf>
    <xf numFmtId="0" fontId="1" fillId="0" borderId="55" xfId="0" applyFont="1" applyFill="1" applyBorder="1" applyAlignment="1" applyProtection="1">
      <alignment vertical="center"/>
      <protection/>
    </xf>
    <xf numFmtId="0" fontId="0" fillId="0" borderId="17" xfId="0" applyFill="1" applyBorder="1" applyAlignment="1" applyProtection="1">
      <alignment vertical="center"/>
      <protection/>
    </xf>
    <xf numFmtId="186" fontId="1" fillId="24" borderId="48" xfId="0" applyNumberFormat="1" applyFont="1" applyFill="1" applyBorder="1" applyAlignment="1" applyProtection="1">
      <alignment horizontal="center" vertical="center"/>
      <protection/>
    </xf>
    <xf numFmtId="0" fontId="1" fillId="0" borderId="18" xfId="0" applyFont="1" applyFill="1" applyBorder="1" applyAlignment="1" applyProtection="1">
      <alignment vertical="center"/>
      <protection/>
    </xf>
    <xf numFmtId="9" fontId="0" fillId="26" borderId="18" xfId="143" applyFont="1" applyFill="1" applyBorder="1" applyAlignment="1" applyProtection="1">
      <alignment vertical="center"/>
      <protection/>
    </xf>
    <xf numFmtId="181" fontId="0" fillId="34" borderId="16" xfId="143" applyNumberFormat="1" applyFont="1" applyFill="1" applyBorder="1" applyAlignment="1" applyProtection="1">
      <alignment vertical="center"/>
      <protection/>
    </xf>
    <xf numFmtId="171" fontId="0" fillId="34" borderId="18" xfId="0" applyNumberFormat="1" applyFill="1" applyBorder="1" applyAlignment="1" applyProtection="1">
      <alignment vertical="center"/>
      <protection/>
    </xf>
    <xf numFmtId="171" fontId="0" fillId="34" borderId="57" xfId="0" applyNumberFormat="1" applyFill="1" applyBorder="1" applyAlignment="1" applyProtection="1">
      <alignment vertical="center"/>
      <protection/>
    </xf>
    <xf numFmtId="181" fontId="0" fillId="27" borderId="16" xfId="143" applyNumberFormat="1" applyFont="1" applyFill="1" applyBorder="1" applyAlignment="1" applyProtection="1">
      <alignment vertical="center"/>
      <protection/>
    </xf>
    <xf numFmtId="181" fontId="0" fillId="27" borderId="18" xfId="0" applyNumberFormat="1" applyFill="1" applyBorder="1" applyAlignment="1" applyProtection="1">
      <alignment vertical="center"/>
      <protection/>
    </xf>
    <xf numFmtId="171" fontId="0" fillId="27" borderId="57" xfId="0" applyNumberFormat="1" applyFill="1" applyBorder="1" applyAlignment="1" applyProtection="1">
      <alignment vertical="center"/>
      <protection/>
    </xf>
    <xf numFmtId="179" fontId="1" fillId="28" borderId="57" xfId="99" applyNumberFormat="1" applyFont="1" applyFill="1" applyBorder="1" applyAlignment="1" applyProtection="1">
      <alignment vertical="center"/>
      <protection/>
    </xf>
    <xf numFmtId="179" fontId="1" fillId="30" borderId="19" xfId="99" applyNumberFormat="1" applyFont="1" applyFill="1" applyBorder="1" applyAlignment="1" applyProtection="1">
      <alignment vertical="center"/>
      <protection/>
    </xf>
    <xf numFmtId="179" fontId="1" fillId="31" borderId="57" xfId="99" applyNumberFormat="1" applyFont="1" applyFill="1" applyBorder="1" applyAlignment="1" applyProtection="1">
      <alignment vertical="center"/>
      <protection/>
    </xf>
    <xf numFmtId="179" fontId="1" fillId="32" borderId="19" xfId="99" applyNumberFormat="1" applyFont="1" applyFill="1" applyBorder="1" applyAlignment="1" applyProtection="1">
      <alignment vertical="center"/>
      <protection/>
    </xf>
    <xf numFmtId="179" fontId="1" fillId="33" borderId="57" xfId="99" applyNumberFormat="1" applyFont="1" applyFill="1" applyBorder="1" applyAlignment="1" applyProtection="1">
      <alignment vertical="center"/>
      <protection/>
    </xf>
    <xf numFmtId="171" fontId="0" fillId="35" borderId="59" xfId="0" applyNumberFormat="1" applyFill="1" applyBorder="1" applyAlignment="1" applyProtection="1">
      <alignment vertical="center"/>
      <protection/>
    </xf>
    <xf numFmtId="171" fontId="0" fillId="0" borderId="18" xfId="96" applyFont="1" applyFill="1" applyBorder="1" applyAlignment="1" applyProtection="1">
      <alignment vertical="center"/>
      <protection/>
    </xf>
    <xf numFmtId="0" fontId="3" fillId="0" borderId="11" xfId="0" applyFont="1" applyBorder="1" applyAlignment="1" applyProtection="1">
      <alignment vertical="center"/>
      <protection/>
    </xf>
    <xf numFmtId="0" fontId="4" fillId="0" borderId="14" xfId="0" applyFont="1" applyBorder="1" applyAlignment="1" applyProtection="1">
      <alignment horizontal="right" vertical="center"/>
      <protection/>
    </xf>
    <xf numFmtId="0" fontId="4" fillId="26" borderId="11" xfId="0" applyFont="1" applyFill="1" applyBorder="1" applyAlignment="1" applyProtection="1">
      <alignment vertical="center"/>
      <protection/>
    </xf>
    <xf numFmtId="181" fontId="4" fillId="26" borderId="12" xfId="0" applyNumberFormat="1" applyFont="1" applyFill="1" applyBorder="1" applyAlignment="1" applyProtection="1">
      <alignment vertical="center"/>
      <protection/>
    </xf>
    <xf numFmtId="179" fontId="4" fillId="26" borderId="14" xfId="99" applyNumberFormat="1" applyFont="1" applyFill="1" applyBorder="1" applyAlignment="1" applyProtection="1">
      <alignment vertical="center"/>
      <protection/>
    </xf>
    <xf numFmtId="179" fontId="4" fillId="26" borderId="53" xfId="0" applyNumberFormat="1" applyFont="1" applyFill="1" applyBorder="1" applyAlignment="1" applyProtection="1">
      <alignment vertical="center"/>
      <protection/>
    </xf>
    <xf numFmtId="0" fontId="4" fillId="34" borderId="11" xfId="0" applyFont="1" applyFill="1" applyBorder="1" applyAlignment="1" applyProtection="1">
      <alignment horizontal="right" vertical="center"/>
      <protection/>
    </xf>
    <xf numFmtId="179" fontId="4" fillId="34" borderId="14" xfId="99" applyNumberFormat="1" applyFont="1" applyFill="1" applyBorder="1" applyAlignment="1" applyProtection="1">
      <alignment vertical="center"/>
      <protection/>
    </xf>
    <xf numFmtId="179" fontId="4" fillId="34" borderId="53" xfId="99" applyNumberFormat="1" applyFont="1" applyFill="1" applyBorder="1" applyAlignment="1" applyProtection="1">
      <alignment vertical="center"/>
      <protection/>
    </xf>
    <xf numFmtId="0" fontId="4" fillId="27" borderId="11" xfId="0" applyFont="1" applyFill="1" applyBorder="1" applyAlignment="1" applyProtection="1">
      <alignment vertical="center"/>
      <protection/>
    </xf>
    <xf numFmtId="179" fontId="4" fillId="27" borderId="14" xfId="99" applyNumberFormat="1" applyFont="1" applyFill="1" applyBorder="1" applyAlignment="1" applyProtection="1">
      <alignment vertical="center"/>
      <protection/>
    </xf>
    <xf numFmtId="179" fontId="4" fillId="27" borderId="53" xfId="99" applyNumberFormat="1" applyFont="1" applyFill="1" applyBorder="1" applyAlignment="1" applyProtection="1">
      <alignment vertical="center"/>
      <protection/>
    </xf>
    <xf numFmtId="179" fontId="3" fillId="28" borderId="53" xfId="99" applyNumberFormat="1" applyFont="1" applyFill="1" applyBorder="1" applyAlignment="1" applyProtection="1">
      <alignment horizontal="right" vertical="center"/>
      <protection/>
    </xf>
    <xf numFmtId="179" fontId="3" fillId="30" borderId="12" xfId="99" applyNumberFormat="1" applyFont="1" applyFill="1" applyBorder="1" applyAlignment="1" applyProtection="1">
      <alignment vertical="center"/>
      <protection/>
    </xf>
    <xf numFmtId="179" fontId="3" fillId="31" borderId="53" xfId="99" applyNumberFormat="1" applyFont="1" applyFill="1" applyBorder="1" applyAlignment="1" applyProtection="1">
      <alignment vertical="center"/>
      <protection/>
    </xf>
    <xf numFmtId="179" fontId="3" fillId="32" borderId="12" xfId="99" applyNumberFormat="1" applyFont="1" applyFill="1" applyBorder="1" applyAlignment="1" applyProtection="1">
      <alignment vertical="center"/>
      <protection/>
    </xf>
    <xf numFmtId="179" fontId="3" fillId="33" borderId="53" xfId="0" applyNumberFormat="1" applyFont="1" applyFill="1" applyBorder="1" applyAlignment="1" applyProtection="1">
      <alignment vertical="center"/>
      <protection/>
    </xf>
    <xf numFmtId="0" fontId="3" fillId="25" borderId="54" xfId="0" applyFont="1" applyFill="1" applyBorder="1" applyAlignment="1" applyProtection="1">
      <alignment vertical="center"/>
      <protection/>
    </xf>
    <xf numFmtId="0" fontId="1" fillId="0" borderId="69" xfId="0" applyFont="1" applyBorder="1" applyAlignment="1" applyProtection="1">
      <alignment vertical="center"/>
      <protection/>
    </xf>
    <xf numFmtId="0" fontId="4" fillId="0" borderId="70" xfId="0" applyFont="1" applyBorder="1" applyAlignment="1" applyProtection="1">
      <alignment horizontal="right" vertical="center"/>
      <protection/>
    </xf>
    <xf numFmtId="0" fontId="1" fillId="26" borderId="69" xfId="0" applyFont="1" applyFill="1" applyBorder="1" applyAlignment="1" applyProtection="1">
      <alignment vertical="center"/>
      <protection/>
    </xf>
    <xf numFmtId="0" fontId="1" fillId="26" borderId="71" xfId="0" applyFont="1" applyFill="1" applyBorder="1" applyAlignment="1" applyProtection="1">
      <alignment vertical="center"/>
      <protection/>
    </xf>
    <xf numFmtId="179" fontId="4" fillId="26" borderId="27" xfId="99" applyNumberFormat="1" applyFont="1" applyFill="1" applyBorder="1" applyAlignment="1" applyProtection="1">
      <alignment vertical="center"/>
      <protection/>
    </xf>
    <xf numFmtId="0" fontId="1" fillId="26" borderId="10" xfId="0" applyFont="1" applyFill="1" applyBorder="1" applyAlignment="1" applyProtection="1">
      <alignment vertical="center"/>
      <protection/>
    </xf>
    <xf numFmtId="0" fontId="1" fillId="34" borderId="69" xfId="0" applyFont="1" applyFill="1" applyBorder="1" applyAlignment="1" applyProtection="1">
      <alignment horizontal="right" vertical="center"/>
      <protection/>
    </xf>
    <xf numFmtId="179" fontId="4" fillId="34" borderId="27" xfId="99" applyNumberFormat="1" applyFont="1" applyFill="1" applyBorder="1" applyAlignment="1" applyProtection="1">
      <alignment vertical="center"/>
      <protection/>
    </xf>
    <xf numFmtId="179" fontId="4" fillId="34" borderId="10" xfId="99" applyNumberFormat="1" applyFont="1" applyFill="1" applyBorder="1" applyAlignment="1" applyProtection="1">
      <alignment vertical="center"/>
      <protection/>
    </xf>
    <xf numFmtId="0" fontId="1" fillId="27" borderId="69" xfId="0" applyFont="1" applyFill="1" applyBorder="1" applyAlignment="1" applyProtection="1">
      <alignment vertical="center"/>
      <protection/>
    </xf>
    <xf numFmtId="179" fontId="4" fillId="27" borderId="27" xfId="99" applyNumberFormat="1" applyFont="1" applyFill="1" applyBorder="1" applyAlignment="1" applyProtection="1">
      <alignment vertical="center"/>
      <protection/>
    </xf>
    <xf numFmtId="179" fontId="4" fillId="27" borderId="10" xfId="99" applyNumberFormat="1" applyFont="1" applyFill="1" applyBorder="1" applyAlignment="1" applyProtection="1">
      <alignment vertical="center"/>
      <protection/>
    </xf>
    <xf numFmtId="179" fontId="3" fillId="28" borderId="66" xfId="99" applyNumberFormat="1" applyFont="1" applyFill="1" applyBorder="1" applyAlignment="1" applyProtection="1">
      <alignment horizontal="right" vertical="center"/>
      <protection/>
    </xf>
    <xf numFmtId="0" fontId="1" fillId="30" borderId="71" xfId="0" applyFont="1" applyFill="1" applyBorder="1" applyAlignment="1" applyProtection="1">
      <alignment vertical="center"/>
      <protection/>
    </xf>
    <xf numFmtId="0" fontId="1" fillId="31" borderId="10" xfId="0" applyFont="1" applyFill="1" applyBorder="1" applyAlignment="1" applyProtection="1">
      <alignment vertical="center"/>
      <protection/>
    </xf>
    <xf numFmtId="0" fontId="1" fillId="32" borderId="71" xfId="0" applyFont="1" applyFill="1" applyBorder="1" applyAlignment="1" applyProtection="1">
      <alignment vertical="center"/>
      <protection/>
    </xf>
    <xf numFmtId="0" fontId="1" fillId="33" borderId="10" xfId="0" applyFont="1" applyFill="1" applyBorder="1" applyAlignment="1" applyProtection="1">
      <alignment vertical="center"/>
      <protection/>
    </xf>
    <xf numFmtId="0" fontId="1" fillId="0" borderId="70" xfId="0" applyFont="1" applyBorder="1" applyAlignment="1" applyProtection="1">
      <alignment vertical="center"/>
      <protection/>
    </xf>
    <xf numFmtId="181" fontId="0" fillId="0" borderId="0" xfId="0" applyNumberFormat="1" applyAlignment="1" applyProtection="1">
      <alignment vertical="center"/>
      <protection/>
    </xf>
    <xf numFmtId="181" fontId="1" fillId="0" borderId="0" xfId="0" applyNumberFormat="1" applyFont="1" applyAlignment="1" applyProtection="1">
      <alignment vertical="center"/>
      <protection/>
    </xf>
    <xf numFmtId="179" fontId="0" fillId="0" borderId="0" xfId="0" applyNumberFormat="1" applyAlignment="1" applyProtection="1">
      <alignment vertical="center"/>
      <protection/>
    </xf>
    <xf numFmtId="179" fontId="0" fillId="0" borderId="0" xfId="0" applyNumberFormat="1" applyFill="1" applyAlignment="1" applyProtection="1">
      <alignment vertical="center"/>
      <protection/>
    </xf>
    <xf numFmtId="179" fontId="1" fillId="0" borderId="0" xfId="0" applyNumberFormat="1" applyFont="1" applyAlignment="1" applyProtection="1">
      <alignment vertical="center"/>
      <protection/>
    </xf>
    <xf numFmtId="174" fontId="1" fillId="0" borderId="0" xfId="143" applyNumberFormat="1" applyFont="1" applyBorder="1" applyAlignment="1" applyProtection="1">
      <alignment vertical="center"/>
      <protection/>
    </xf>
    <xf numFmtId="181" fontId="0" fillId="0" borderId="0" xfId="99" applyNumberFormat="1" applyFont="1" applyAlignment="1" applyProtection="1">
      <alignment vertical="center"/>
      <protection/>
    </xf>
    <xf numFmtId="0" fontId="0" fillId="0" borderId="0" xfId="0" applyFill="1" applyBorder="1" applyAlignment="1" applyProtection="1">
      <alignment horizontal="right" vertical="center"/>
      <protection/>
    </xf>
    <xf numFmtId="179" fontId="2" fillId="0" borderId="0" xfId="0" applyNumberFormat="1" applyFont="1" applyFill="1" applyAlignment="1" applyProtection="1">
      <alignment vertical="center"/>
      <protection/>
    </xf>
    <xf numFmtId="179" fontId="8" fillId="0" borderId="0" xfId="0" applyNumberFormat="1" applyFont="1" applyFill="1" applyBorder="1" applyAlignment="1" applyProtection="1">
      <alignment vertical="center"/>
      <protection/>
    </xf>
    <xf numFmtId="0" fontId="0" fillId="0" borderId="0" xfId="0" applyFont="1" applyAlignment="1" applyProtection="1">
      <alignment vertical="center"/>
      <protection/>
    </xf>
    <xf numFmtId="0" fontId="0" fillId="0" borderId="0" xfId="0" applyFont="1" applyFill="1" applyAlignment="1" applyProtection="1">
      <alignment vertical="center"/>
      <protection/>
    </xf>
    <xf numFmtId="0" fontId="5" fillId="0" borderId="0" xfId="0" applyFont="1" applyAlignment="1" applyProtection="1">
      <alignment horizontal="left" vertical="center"/>
      <protection/>
    </xf>
    <xf numFmtId="9" fontId="5" fillId="0" borderId="0" xfId="0" applyNumberFormat="1" applyFont="1" applyAlignment="1" applyProtection="1">
      <alignment horizontal="left" vertical="center"/>
      <protection/>
    </xf>
    <xf numFmtId="0" fontId="0" fillId="0" borderId="0" xfId="0" applyFont="1" applyAlignment="1" applyProtection="1">
      <alignment vertical="center"/>
      <protection/>
    </xf>
    <xf numFmtId="10" fontId="5" fillId="0" borderId="0" xfId="96" applyNumberFormat="1" applyFont="1" applyBorder="1" applyAlignment="1" applyProtection="1">
      <alignment horizontal="center" vertical="center"/>
      <protection/>
    </xf>
    <xf numFmtId="0" fontId="1" fillId="0" borderId="72" xfId="0" applyFont="1" applyBorder="1" applyAlignment="1" applyProtection="1">
      <alignment horizontal="left" vertical="center"/>
      <protection/>
    </xf>
    <xf numFmtId="0" fontId="0" fillId="0" borderId="0" xfId="0" applyAlignment="1" applyProtection="1">
      <alignment horizontal="center" vertical="center"/>
      <protection/>
    </xf>
    <xf numFmtId="0" fontId="1" fillId="0" borderId="32" xfId="0" applyFont="1" applyBorder="1" applyAlignment="1" applyProtection="1">
      <alignment horizontal="center" vertical="center" wrapText="1"/>
      <protection/>
    </xf>
    <xf numFmtId="0" fontId="1" fillId="0" borderId="33" xfId="0" applyFont="1" applyBorder="1" applyAlignment="1" applyProtection="1">
      <alignment horizontal="center" vertical="center" wrapText="1"/>
      <protection/>
    </xf>
    <xf numFmtId="0" fontId="0" fillId="0" borderId="73" xfId="0" applyBorder="1" applyAlignment="1" applyProtection="1">
      <alignment horizontal="center" vertical="center" wrapText="1"/>
      <protection/>
    </xf>
    <xf numFmtId="173" fontId="0" fillId="0" borderId="33" xfId="96" applyNumberFormat="1" applyFont="1" applyBorder="1" applyAlignment="1" applyProtection="1">
      <alignment horizontal="center" vertical="center" wrapText="1"/>
      <protection/>
    </xf>
    <xf numFmtId="0" fontId="0" fillId="0" borderId="33" xfId="0" applyBorder="1" applyAlignment="1" applyProtection="1">
      <alignment horizontal="center" vertical="center" wrapText="1"/>
      <protection/>
    </xf>
    <xf numFmtId="0" fontId="0" fillId="0" borderId="33" xfId="0" applyFill="1" applyBorder="1" applyAlignment="1" applyProtection="1">
      <alignment horizontal="center" vertical="center" wrapText="1"/>
      <protection/>
    </xf>
    <xf numFmtId="0" fontId="0" fillId="0" borderId="35" xfId="0"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0" fillId="0" borderId="0" xfId="0" applyAlignment="1" applyProtection="1">
      <alignment vertical="center" wrapText="1"/>
      <protection/>
    </xf>
    <xf numFmtId="0" fontId="1" fillId="0" borderId="33" xfId="0" applyFont="1" applyBorder="1" applyAlignment="1" applyProtection="1">
      <alignment horizontal="center" vertical="center"/>
      <protection/>
    </xf>
    <xf numFmtId="173" fontId="0" fillId="0" borderId="12" xfId="96" applyNumberFormat="1" applyFont="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74" xfId="0" applyBorder="1" applyAlignment="1" applyProtection="1">
      <alignment horizontal="center" vertical="center"/>
      <protection/>
    </xf>
    <xf numFmtId="10" fontId="1" fillId="0" borderId="12" xfId="143" applyNumberFormat="1" applyFont="1" applyBorder="1" applyAlignment="1" applyProtection="1">
      <alignment vertical="center"/>
      <protection/>
    </xf>
    <xf numFmtId="173" fontId="1" fillId="0" borderId="12" xfId="0" applyNumberFormat="1" applyFont="1" applyBorder="1" applyAlignment="1" applyProtection="1">
      <alignment vertical="center"/>
      <protection/>
    </xf>
    <xf numFmtId="174" fontId="1" fillId="0" borderId="14" xfId="143" applyNumberFormat="1" applyFont="1" applyBorder="1" applyAlignment="1" applyProtection="1">
      <alignment vertical="center"/>
      <protection/>
    </xf>
    <xf numFmtId="0" fontId="0" fillId="0" borderId="12" xfId="0" applyFont="1" applyBorder="1" applyAlignment="1" applyProtection="1">
      <alignment horizontal="center" vertical="center"/>
      <protection/>
    </xf>
    <xf numFmtId="0" fontId="1" fillId="0" borderId="55" xfId="0" applyFont="1" applyFill="1" applyBorder="1" applyAlignment="1" applyProtection="1">
      <alignment horizontal="right" vertical="center"/>
      <protection/>
    </xf>
    <xf numFmtId="10" fontId="0" fillId="0" borderId="58" xfId="143" applyNumberFormat="1" applyFont="1" applyFill="1" applyBorder="1" applyAlignment="1" applyProtection="1">
      <alignment vertical="center"/>
      <protection/>
    </xf>
    <xf numFmtId="174" fontId="0" fillId="0" borderId="0" xfId="143" applyNumberFormat="1" applyFont="1" applyFill="1" applyBorder="1" applyAlignment="1" applyProtection="1">
      <alignment vertical="center"/>
      <protection/>
    </xf>
    <xf numFmtId="173" fontId="0" fillId="0" borderId="12" xfId="0" applyNumberFormat="1" applyFont="1" applyBorder="1" applyAlignment="1" applyProtection="1">
      <alignment vertical="center"/>
      <protection/>
    </xf>
    <xf numFmtId="174" fontId="1" fillId="0" borderId="0" xfId="0" applyNumberFormat="1" applyFont="1" applyAlignment="1" applyProtection="1">
      <alignment vertical="center"/>
      <protection/>
    </xf>
    <xf numFmtId="0" fontId="1" fillId="0" borderId="16" xfId="0" applyFont="1" applyFill="1" applyBorder="1" applyAlignment="1" applyProtection="1">
      <alignment horizontal="right" vertical="center"/>
      <protection/>
    </xf>
    <xf numFmtId="10" fontId="0" fillId="0" borderId="21" xfId="143" applyNumberFormat="1" applyFont="1" applyFill="1" applyBorder="1" applyAlignment="1" applyProtection="1">
      <alignment vertical="center"/>
      <protection/>
    </xf>
    <xf numFmtId="173" fontId="0" fillId="0" borderId="21" xfId="0" applyNumberFormat="1" applyBorder="1" applyAlignment="1" applyProtection="1">
      <alignment vertical="center"/>
      <protection/>
    </xf>
    <xf numFmtId="174" fontId="0" fillId="0" borderId="61" xfId="143" applyNumberFormat="1" applyFont="1" applyBorder="1" applyAlignment="1" applyProtection="1">
      <alignment vertical="center"/>
      <protection/>
    </xf>
    <xf numFmtId="174" fontId="0" fillId="0" borderId="0" xfId="143" applyNumberFormat="1" applyFont="1" applyBorder="1" applyAlignment="1" applyProtection="1">
      <alignment vertical="center"/>
      <protection/>
    </xf>
    <xf numFmtId="10" fontId="1" fillId="36" borderId="25" xfId="143" applyNumberFormat="1" applyFont="1" applyFill="1" applyBorder="1" applyAlignment="1" applyProtection="1">
      <alignment vertical="center"/>
      <protection/>
    </xf>
    <xf numFmtId="173" fontId="1" fillId="36" borderId="25" xfId="96" applyNumberFormat="1" applyFont="1" applyFill="1" applyBorder="1" applyAlignment="1" applyProtection="1">
      <alignment vertical="center"/>
      <protection/>
    </xf>
    <xf numFmtId="10" fontId="1" fillId="36" borderId="27" xfId="143" applyNumberFormat="1" applyFont="1" applyFill="1" applyBorder="1" applyAlignment="1" applyProtection="1">
      <alignment vertical="center"/>
      <protection/>
    </xf>
    <xf numFmtId="10" fontId="1" fillId="0" borderId="0" xfId="143" applyNumberFormat="1" applyFont="1" applyBorder="1" applyAlignment="1" applyProtection="1">
      <alignment vertical="center"/>
      <protection/>
    </xf>
    <xf numFmtId="10" fontId="1" fillId="0" borderId="0" xfId="143" applyNumberFormat="1" applyFont="1" applyFill="1" applyBorder="1" applyAlignment="1" applyProtection="1">
      <alignment vertical="center"/>
      <protection/>
    </xf>
    <xf numFmtId="173" fontId="0" fillId="0" borderId="75" xfId="0" applyNumberFormat="1" applyFont="1" applyBorder="1" applyAlignment="1" applyProtection="1">
      <alignment vertical="center"/>
      <protection/>
    </xf>
    <xf numFmtId="0" fontId="3" fillId="24" borderId="38" xfId="0" applyFont="1" applyFill="1" applyBorder="1" applyAlignment="1" applyProtection="1">
      <alignment horizontal="left" vertical="center"/>
      <protection/>
    </xf>
    <xf numFmtId="0" fontId="1" fillId="24" borderId="39" xfId="0" applyFont="1" applyFill="1" applyBorder="1" applyAlignment="1" applyProtection="1">
      <alignment vertical="center"/>
      <protection/>
    </xf>
    <xf numFmtId="173" fontId="1" fillId="36" borderId="39" xfId="96" applyNumberFormat="1" applyFont="1" applyFill="1" applyBorder="1" applyAlignment="1" applyProtection="1">
      <alignment vertical="center"/>
      <protection/>
    </xf>
    <xf numFmtId="173" fontId="0" fillId="25" borderId="74" xfId="0" applyNumberFormat="1" applyFont="1" applyFill="1" applyBorder="1" applyAlignment="1" applyProtection="1">
      <alignment vertical="center"/>
      <protection/>
    </xf>
    <xf numFmtId="10" fontId="1" fillId="36" borderId="12" xfId="143" applyNumberFormat="1" applyFont="1" applyFill="1" applyBorder="1" applyAlignment="1" applyProtection="1">
      <alignment vertical="center"/>
      <protection/>
    </xf>
    <xf numFmtId="173" fontId="1" fillId="36" borderId="12" xfId="96" applyNumberFormat="1" applyFont="1" applyFill="1" applyBorder="1" applyAlignment="1" applyProtection="1">
      <alignment vertical="center"/>
      <protection/>
    </xf>
    <xf numFmtId="10" fontId="1" fillId="36" borderId="14" xfId="143" applyNumberFormat="1" applyFont="1" applyFill="1" applyBorder="1" applyAlignment="1" applyProtection="1">
      <alignment vertical="center"/>
      <protection/>
    </xf>
    <xf numFmtId="173" fontId="1" fillId="25" borderId="12" xfId="0" applyNumberFormat="1" applyFont="1" applyFill="1" applyBorder="1" applyAlignment="1" applyProtection="1">
      <alignment vertical="center"/>
      <protection/>
    </xf>
    <xf numFmtId="173" fontId="0" fillId="0" borderId="58" xfId="0" applyNumberFormat="1" applyBorder="1" applyAlignment="1" applyProtection="1">
      <alignment vertical="center"/>
      <protection/>
    </xf>
    <xf numFmtId="174" fontId="0" fillId="0" borderId="17" xfId="143" applyNumberFormat="1" applyFont="1" applyBorder="1" applyAlignment="1" applyProtection="1">
      <alignment vertical="center"/>
      <protection/>
    </xf>
    <xf numFmtId="173" fontId="1" fillId="0" borderId="42" xfId="96" applyNumberFormat="1" applyFont="1" applyFill="1" applyBorder="1" applyAlignment="1" applyProtection="1">
      <alignment vertical="center"/>
      <protection/>
    </xf>
    <xf numFmtId="173" fontId="1" fillId="0" borderId="29" xfId="96" applyNumberFormat="1" applyFont="1" applyFill="1" applyBorder="1" applyAlignment="1" applyProtection="1">
      <alignment vertical="center"/>
      <protection/>
    </xf>
    <xf numFmtId="173" fontId="1" fillId="24" borderId="42" xfId="96" applyNumberFormat="1" applyFont="1" applyFill="1" applyBorder="1" applyAlignment="1" applyProtection="1">
      <alignment vertical="center"/>
      <protection/>
    </xf>
    <xf numFmtId="173" fontId="1" fillId="24" borderId="29" xfId="96" applyNumberFormat="1" applyFont="1" applyFill="1" applyBorder="1" applyAlignment="1" applyProtection="1">
      <alignment vertical="center"/>
      <protection/>
    </xf>
    <xf numFmtId="10" fontId="1" fillId="0" borderId="42" xfId="143" applyNumberFormat="1" applyFont="1" applyBorder="1" applyAlignment="1" applyProtection="1">
      <alignment vertical="center"/>
      <protection/>
    </xf>
    <xf numFmtId="173" fontId="1" fillId="0" borderId="12" xfId="96" applyNumberFormat="1" applyFont="1" applyFill="1" applyBorder="1" applyAlignment="1" applyProtection="1">
      <alignment vertical="center"/>
      <protection/>
    </xf>
    <xf numFmtId="0" fontId="1" fillId="24" borderId="24" xfId="0" applyFont="1" applyFill="1" applyBorder="1" applyAlignment="1" applyProtection="1">
      <alignment horizontal="left" vertical="center"/>
      <protection/>
    </xf>
    <xf numFmtId="173" fontId="1" fillId="24" borderId="28" xfId="96" applyNumberFormat="1" applyFont="1" applyFill="1" applyBorder="1" applyAlignment="1" applyProtection="1">
      <alignment vertical="center"/>
      <protection/>
    </xf>
    <xf numFmtId="0" fontId="1" fillId="0" borderId="0" xfId="0" applyFont="1" applyAlignment="1" applyProtection="1">
      <alignment horizontal="right" vertical="center"/>
      <protection/>
    </xf>
    <xf numFmtId="0" fontId="0" fillId="0" borderId="0" xfId="0" applyFont="1" applyAlignment="1" applyProtection="1">
      <alignment vertical="center"/>
      <protection/>
    </xf>
    <xf numFmtId="10" fontId="0" fillId="0" borderId="0" xfId="0" applyNumberFormat="1" applyAlignment="1" applyProtection="1">
      <alignment vertical="center"/>
      <protection/>
    </xf>
    <xf numFmtId="173" fontId="0" fillId="0" borderId="0" xfId="96" applyNumberFormat="1" applyFont="1" applyAlignment="1" applyProtection="1">
      <alignment vertical="center"/>
      <protection/>
    </xf>
    <xf numFmtId="0" fontId="0" fillId="0" borderId="0" xfId="0" applyFill="1" applyBorder="1" applyAlignment="1" applyProtection="1">
      <alignment vertical="center"/>
      <protection/>
    </xf>
    <xf numFmtId="10" fontId="5" fillId="0" borderId="0" xfId="96" applyNumberFormat="1" applyFont="1" applyAlignment="1" applyProtection="1">
      <alignment horizontal="center" vertical="center"/>
      <protection/>
    </xf>
    <xf numFmtId="0" fontId="1" fillId="0" borderId="76" xfId="0" applyFont="1" applyBorder="1" applyAlignment="1" applyProtection="1">
      <alignment horizontal="center" vertical="center" wrapText="1"/>
      <protection/>
    </xf>
    <xf numFmtId="0" fontId="1" fillId="0" borderId="77" xfId="0" applyFont="1" applyBorder="1" applyAlignment="1" applyProtection="1">
      <alignment horizontal="center" vertical="center" wrapText="1"/>
      <protection/>
    </xf>
    <xf numFmtId="173" fontId="1" fillId="24" borderId="14" xfId="96" applyNumberFormat="1" applyFont="1" applyFill="1" applyBorder="1" applyAlignment="1" applyProtection="1">
      <alignment vertical="center"/>
      <protection/>
    </xf>
    <xf numFmtId="0" fontId="1" fillId="0" borderId="78" xfId="0" applyFont="1" applyBorder="1" applyAlignment="1" applyProtection="1">
      <alignment horizontal="center" vertical="center" wrapText="1"/>
      <protection/>
    </xf>
    <xf numFmtId="0" fontId="0" fillId="0" borderId="35" xfId="0" applyBorder="1" applyAlignment="1" applyProtection="1">
      <alignment horizontal="center" vertical="center" wrapText="1"/>
      <protection/>
    </xf>
    <xf numFmtId="0" fontId="1" fillId="0" borderId="51" xfId="0" applyFont="1" applyBorder="1" applyAlignment="1" applyProtection="1">
      <alignment vertical="center"/>
      <protection/>
    </xf>
    <xf numFmtId="173" fontId="1" fillId="25" borderId="53" xfId="96" applyNumberFormat="1" applyFont="1" applyFill="1" applyBorder="1" applyAlignment="1" applyProtection="1">
      <alignment vertical="center"/>
      <protection/>
    </xf>
    <xf numFmtId="173" fontId="0" fillId="0" borderId="57" xfId="96" applyNumberFormat="1" applyFont="1" applyFill="1" applyBorder="1" applyAlignment="1" applyProtection="1">
      <alignment vertical="center"/>
      <protection/>
    </xf>
    <xf numFmtId="173" fontId="1" fillId="24" borderId="66" xfId="96" applyNumberFormat="1" applyFont="1" applyFill="1" applyBorder="1" applyAlignment="1" applyProtection="1">
      <alignment vertical="center"/>
      <protection/>
    </xf>
    <xf numFmtId="173" fontId="1" fillId="0" borderId="51" xfId="96" applyNumberFormat="1" applyFont="1" applyFill="1" applyBorder="1" applyAlignment="1" applyProtection="1">
      <alignment vertical="center"/>
      <protection/>
    </xf>
    <xf numFmtId="173" fontId="1" fillId="36" borderId="67" xfId="96" applyNumberFormat="1" applyFont="1" applyFill="1" applyBorder="1" applyAlignment="1" applyProtection="1">
      <alignment vertical="center"/>
      <protection/>
    </xf>
    <xf numFmtId="173" fontId="0" fillId="35" borderId="57" xfId="96" applyNumberFormat="1" applyFont="1" applyFill="1" applyBorder="1" applyAlignment="1" applyProtection="1">
      <alignment vertical="center"/>
      <protection/>
    </xf>
    <xf numFmtId="173" fontId="1" fillId="24" borderId="53" xfId="96" applyNumberFormat="1" applyFont="1" applyFill="1" applyBorder="1" applyAlignment="1" applyProtection="1">
      <alignment vertical="center"/>
      <protection/>
    </xf>
    <xf numFmtId="173" fontId="3" fillId="25" borderId="53" xfId="0" applyNumberFormat="1" applyFont="1" applyFill="1" applyBorder="1" applyAlignment="1" applyProtection="1">
      <alignment vertical="center"/>
      <protection/>
    </xf>
    <xf numFmtId="0" fontId="1" fillId="0" borderId="53" xfId="0" applyFont="1" applyBorder="1" applyAlignment="1" applyProtection="1">
      <alignment horizontal="center" vertical="center" wrapText="1"/>
      <protection/>
    </xf>
    <xf numFmtId="173" fontId="5" fillId="35" borderId="57" xfId="96" applyNumberFormat="1" applyFont="1" applyFill="1" applyBorder="1" applyAlignment="1" applyProtection="1">
      <alignment vertical="center"/>
      <protection/>
    </xf>
    <xf numFmtId="0" fontId="7" fillId="0" borderId="0" xfId="0" applyFont="1" applyAlignment="1" applyProtection="1">
      <alignment horizontal="center" vertical="center"/>
      <protection/>
    </xf>
    <xf numFmtId="0" fontId="1" fillId="33" borderId="51" xfId="0" applyFont="1" applyFill="1" applyBorder="1" applyAlignment="1" applyProtection="1">
      <alignment vertical="center"/>
      <protection/>
    </xf>
    <xf numFmtId="179" fontId="1" fillId="33" borderId="67" xfId="99" applyNumberFormat="1" applyFont="1" applyFill="1" applyBorder="1" applyAlignment="1" applyProtection="1">
      <alignment vertical="center"/>
      <protection/>
    </xf>
    <xf numFmtId="179" fontId="1" fillId="33" borderId="57" xfId="99" applyNumberFormat="1" applyFont="1" applyFill="1" applyBorder="1" applyAlignment="1" applyProtection="1">
      <alignment vertical="center"/>
      <protection/>
    </xf>
    <xf numFmtId="0" fontId="1" fillId="33" borderId="10" xfId="0" applyFont="1" applyFill="1" applyBorder="1" applyAlignment="1" applyProtection="1">
      <alignment vertical="center"/>
      <protection/>
    </xf>
    <xf numFmtId="179" fontId="0" fillId="0" borderId="0" xfId="0" applyNumberFormat="1" applyFont="1" applyAlignment="1" applyProtection="1">
      <alignment vertical="center"/>
      <protection/>
    </xf>
    <xf numFmtId="179" fontId="3" fillId="0" borderId="10" xfId="99" applyNumberFormat="1" applyFont="1" applyBorder="1" applyAlignment="1" applyProtection="1">
      <alignment vertical="center"/>
      <protection/>
    </xf>
    <xf numFmtId="173" fontId="3" fillId="0" borderId="10" xfId="0" applyNumberFormat="1" applyFont="1" applyBorder="1" applyAlignment="1" applyProtection="1">
      <alignment vertical="center"/>
      <protection/>
    </xf>
    <xf numFmtId="179" fontId="2" fillId="0" borderId="0" xfId="0" applyNumberFormat="1" applyFont="1" applyFill="1" applyBorder="1" applyAlignment="1" applyProtection="1">
      <alignment vertical="center"/>
      <protection/>
    </xf>
    <xf numFmtId="179" fontId="0" fillId="0" borderId="0" xfId="0" applyNumberFormat="1" applyBorder="1" applyAlignment="1" applyProtection="1">
      <alignment vertical="center"/>
      <protection/>
    </xf>
    <xf numFmtId="0" fontId="5" fillId="0" borderId="0" xfId="0" applyFont="1" applyAlignment="1" applyProtection="1">
      <alignment vertical="center"/>
      <protection/>
    </xf>
    <xf numFmtId="10" fontId="5" fillId="0" borderId="0" xfId="0" applyNumberFormat="1" applyFont="1" applyAlignment="1" applyProtection="1">
      <alignment horizontal="left" vertical="center"/>
      <protection/>
    </xf>
    <xf numFmtId="0" fontId="2" fillId="0" borderId="0" xfId="0" applyFont="1" applyAlignment="1" applyProtection="1">
      <alignment horizontal="right" vertical="center"/>
      <protection/>
    </xf>
    <xf numFmtId="0" fontId="8" fillId="0" borderId="0" xfId="0" applyFont="1" applyAlignment="1" applyProtection="1">
      <alignment horizontal="right" vertical="center"/>
      <protection/>
    </xf>
    <xf numFmtId="179" fontId="0" fillId="0" borderId="0" xfId="0" applyNumberFormat="1" applyFont="1" applyAlignment="1" applyProtection="1">
      <alignment vertical="center"/>
      <protection/>
    </xf>
    <xf numFmtId="0" fontId="10" fillId="0" borderId="51" xfId="0" applyFont="1" applyFill="1" applyBorder="1" applyAlignment="1" applyProtection="1">
      <alignment vertical="center"/>
      <protection/>
    </xf>
    <xf numFmtId="179" fontId="10" fillId="0" borderId="53" xfId="99" applyNumberFormat="1" applyFont="1" applyFill="1" applyBorder="1" applyAlignment="1" applyProtection="1">
      <alignment vertical="center"/>
      <protection/>
    </xf>
    <xf numFmtId="170" fontId="10" fillId="0" borderId="56" xfId="99" applyNumberFormat="1" applyFont="1" applyFill="1" applyBorder="1" applyAlignment="1" applyProtection="1">
      <alignment vertical="center"/>
      <protection/>
    </xf>
    <xf numFmtId="170" fontId="10" fillId="0" borderId="60" xfId="99" applyNumberFormat="1" applyFont="1" applyFill="1" applyBorder="1" applyAlignment="1" applyProtection="1">
      <alignment vertical="center"/>
      <protection/>
    </xf>
    <xf numFmtId="170" fontId="10" fillId="0" borderId="66" xfId="99" applyNumberFormat="1" applyFont="1" applyFill="1" applyBorder="1" applyAlignment="1" applyProtection="1">
      <alignment vertical="center"/>
      <protection/>
    </xf>
    <xf numFmtId="170" fontId="10" fillId="0" borderId="51" xfId="99" applyNumberFormat="1" applyFont="1" applyFill="1" applyBorder="1" applyAlignment="1" applyProtection="1">
      <alignment vertical="center"/>
      <protection/>
    </xf>
    <xf numFmtId="170" fontId="10" fillId="0" borderId="67" xfId="99" applyNumberFormat="1" applyFont="1" applyFill="1" applyBorder="1" applyAlignment="1" applyProtection="1">
      <alignment vertical="center"/>
      <protection/>
    </xf>
    <xf numFmtId="170" fontId="10" fillId="0" borderId="53" xfId="99" applyNumberFormat="1" applyFont="1" applyFill="1" applyBorder="1" applyAlignment="1" applyProtection="1">
      <alignment vertical="center"/>
      <protection/>
    </xf>
    <xf numFmtId="179" fontId="10" fillId="0" borderId="57" xfId="99" applyNumberFormat="1" applyFont="1" applyFill="1" applyBorder="1" applyAlignment="1" applyProtection="1">
      <alignment vertical="center"/>
      <protection/>
    </xf>
    <xf numFmtId="179" fontId="9" fillId="0" borderId="53" xfId="99" applyNumberFormat="1" applyFont="1" applyFill="1" applyBorder="1" applyAlignment="1" applyProtection="1">
      <alignment horizontal="right" vertical="center"/>
      <protection/>
    </xf>
    <xf numFmtId="0" fontId="10" fillId="0" borderId="10" xfId="0" applyFont="1" applyFill="1" applyBorder="1" applyAlignment="1" applyProtection="1">
      <alignment vertical="center"/>
      <protection/>
    </xf>
    <xf numFmtId="0" fontId="5"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wrapText="1"/>
      <protection/>
    </xf>
    <xf numFmtId="4" fontId="0" fillId="0" borderId="0" xfId="0" applyNumberFormat="1" applyFill="1" applyBorder="1" applyAlignment="1" applyProtection="1">
      <alignment horizontal="center" vertical="center" wrapText="1"/>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0" xfId="0"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173" fontId="0" fillId="0" borderId="0" xfId="96" applyNumberFormat="1" applyFont="1" applyFill="1" applyBorder="1" applyAlignment="1" applyProtection="1">
      <alignment vertical="center"/>
      <protection/>
    </xf>
    <xf numFmtId="3" fontId="0" fillId="0" borderId="0" xfId="0" applyNumberFormat="1" applyFont="1" applyFill="1" applyBorder="1" applyAlignment="1" applyProtection="1">
      <alignment vertical="center"/>
      <protection/>
    </xf>
    <xf numFmtId="173" fontId="0" fillId="0" borderId="0" xfId="96" applyNumberFormat="1" applyFont="1" applyFill="1" applyBorder="1" applyAlignment="1" applyProtection="1">
      <alignment vertical="center"/>
      <protection/>
    </xf>
    <xf numFmtId="173" fontId="1" fillId="0" borderId="0" xfId="96" applyNumberFormat="1" applyFont="1" applyFill="1" applyBorder="1" applyAlignment="1" applyProtection="1">
      <alignment vertical="center"/>
      <protection/>
    </xf>
    <xf numFmtId="3" fontId="0" fillId="0" borderId="0" xfId="96" applyNumberFormat="1" applyFont="1" applyFill="1" applyBorder="1" applyAlignment="1" applyProtection="1">
      <alignment horizontal="center"/>
      <protection/>
    </xf>
    <xf numFmtId="3" fontId="0" fillId="0" borderId="0" xfId="0" applyNumberFormat="1" applyFill="1" applyBorder="1" applyAlignment="1" applyProtection="1">
      <alignment horizontal="center"/>
      <protection/>
    </xf>
    <xf numFmtId="3" fontId="0" fillId="0" borderId="0" xfId="96" applyNumberFormat="1" applyFont="1" applyFill="1" applyBorder="1" applyAlignment="1" applyProtection="1">
      <alignment horizontal="center"/>
      <protection/>
    </xf>
    <xf numFmtId="3" fontId="0" fillId="0" borderId="0" xfId="0" applyNumberFormat="1" applyFont="1" applyFill="1" applyBorder="1" applyAlignment="1" applyProtection="1">
      <alignment horizontal="center"/>
      <protection/>
    </xf>
    <xf numFmtId="0" fontId="0" fillId="0" borderId="0" xfId="0" applyFill="1" applyBorder="1" applyAlignment="1" applyProtection="1">
      <alignment horizontal="center"/>
      <protection/>
    </xf>
    <xf numFmtId="0" fontId="1" fillId="0" borderId="0" xfId="0" applyFont="1" applyFill="1" applyBorder="1" applyAlignment="1" applyProtection="1">
      <alignment horizontal="center" vertical="center"/>
      <protection/>
    </xf>
    <xf numFmtId="4" fontId="0" fillId="0" borderId="0" xfId="0" applyNumberFormat="1" applyFill="1" applyBorder="1" applyAlignment="1" applyProtection="1">
      <alignment vertical="center" wrapText="1"/>
      <protection/>
    </xf>
    <xf numFmtId="3" fontId="0" fillId="0" borderId="0" xfId="96" applyNumberFormat="1" applyFont="1" applyFill="1" applyBorder="1" applyAlignment="1" applyProtection="1">
      <alignment horizontal="center" vertical="center"/>
      <protection/>
    </xf>
    <xf numFmtId="3" fontId="0"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4" fontId="18" fillId="0" borderId="0" xfId="0" applyNumberFormat="1" applyFont="1" applyFill="1" applyBorder="1" applyAlignment="1" applyProtection="1">
      <alignment vertical="center" wrapText="1"/>
      <protection/>
    </xf>
    <xf numFmtId="179" fontId="0" fillId="0" borderId="0" xfId="0" applyNumberFormat="1" applyFont="1" applyBorder="1" applyAlignment="1" applyProtection="1">
      <alignment vertical="center"/>
      <protection/>
    </xf>
    <xf numFmtId="0" fontId="0" fillId="0" borderId="0" xfId="0" applyFont="1" applyBorder="1" applyAlignment="1" applyProtection="1">
      <alignment vertical="center"/>
      <protection/>
    </xf>
    <xf numFmtId="179" fontId="0" fillId="0" borderId="0" xfId="0" applyNumberFormat="1" applyFont="1" applyFill="1" applyBorder="1" applyAlignment="1" applyProtection="1">
      <alignment vertical="center"/>
      <protection/>
    </xf>
    <xf numFmtId="0" fontId="0" fillId="0" borderId="0" xfId="0" applyFont="1" applyFill="1" applyBorder="1" applyAlignment="1" applyProtection="1">
      <alignment vertical="center"/>
      <protection/>
    </xf>
    <xf numFmtId="0" fontId="5" fillId="0" borderId="0" xfId="0" applyFont="1" applyFill="1" applyBorder="1" applyAlignment="1" applyProtection="1">
      <alignment horizontal="center" vertical="center"/>
      <protection/>
    </xf>
    <xf numFmtId="9" fontId="5" fillId="0" borderId="0" xfId="0" applyNumberFormat="1" applyFont="1" applyFill="1" applyBorder="1" applyAlignment="1" applyProtection="1">
      <alignment horizontal="center" vertical="center"/>
      <protection/>
    </xf>
    <xf numFmtId="179" fontId="5" fillId="33" borderId="53" xfId="99" applyNumberFormat="1" applyFont="1" applyFill="1" applyBorder="1" applyAlignment="1" applyProtection="1">
      <alignment vertical="center"/>
      <protection/>
    </xf>
    <xf numFmtId="0" fontId="19" fillId="0" borderId="0" xfId="0" applyFont="1" applyAlignment="1" applyProtection="1">
      <alignment vertical="center"/>
      <protection/>
    </xf>
    <xf numFmtId="176" fontId="0" fillId="0" borderId="0" xfId="96" applyNumberFormat="1" applyFont="1" applyAlignment="1" applyProtection="1">
      <alignment vertical="center"/>
      <protection/>
    </xf>
    <xf numFmtId="189" fontId="0" fillId="0" borderId="0" xfId="96" applyNumberFormat="1" applyFont="1" applyAlignment="1" applyProtection="1">
      <alignment vertical="center"/>
      <protection/>
    </xf>
    <xf numFmtId="190" fontId="0" fillId="0" borderId="0" xfId="96" applyNumberFormat="1" applyFont="1" applyAlignment="1" applyProtection="1">
      <alignment vertical="center"/>
      <protection/>
    </xf>
    <xf numFmtId="0" fontId="0" fillId="0" borderId="58"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79" xfId="0" applyBorder="1" applyAlignment="1" applyProtection="1">
      <alignment horizontal="center" vertical="center"/>
      <protection/>
    </xf>
    <xf numFmtId="173" fontId="1" fillId="24" borderId="39" xfId="96" applyNumberFormat="1" applyFont="1" applyFill="1" applyBorder="1" applyAlignment="1" applyProtection="1">
      <alignment vertical="center"/>
      <protection/>
    </xf>
    <xf numFmtId="173" fontId="1" fillId="24" borderId="80" xfId="96" applyNumberFormat="1" applyFont="1" applyFill="1" applyBorder="1" applyAlignment="1" applyProtection="1">
      <alignment vertical="center"/>
      <protection/>
    </xf>
    <xf numFmtId="0" fontId="1" fillId="0" borderId="40" xfId="0" applyFont="1" applyBorder="1" applyAlignment="1" applyProtection="1">
      <alignment horizontal="center" vertical="center" wrapText="1"/>
      <protection/>
    </xf>
    <xf numFmtId="173" fontId="13" fillId="0" borderId="0" xfId="96" applyNumberFormat="1" applyFont="1" applyBorder="1" applyAlignment="1" applyProtection="1">
      <alignment vertical="center"/>
      <protection/>
    </xf>
    <xf numFmtId="0" fontId="1" fillId="0" borderId="38" xfId="0" applyFont="1" applyBorder="1" applyAlignment="1" applyProtection="1">
      <alignment horizontal="center" vertical="center" wrapText="1"/>
      <protection/>
    </xf>
    <xf numFmtId="0" fontId="0" fillId="0" borderId="12" xfId="0" applyFont="1" applyFill="1" applyBorder="1" applyAlignment="1" applyProtection="1">
      <alignment horizontal="center" vertical="center"/>
      <protection/>
    </xf>
    <xf numFmtId="173" fontId="1" fillId="25" borderId="42" xfId="0" applyNumberFormat="1" applyFont="1" applyFill="1" applyBorder="1" applyAlignment="1" applyProtection="1">
      <alignment vertical="center"/>
      <protection/>
    </xf>
    <xf numFmtId="0" fontId="1" fillId="0" borderId="76" xfId="0" applyFont="1" applyBorder="1" applyAlignment="1" applyProtection="1">
      <alignment vertical="center"/>
      <protection/>
    </xf>
    <xf numFmtId="0" fontId="0" fillId="0" borderId="81" xfId="0" applyFont="1" applyBorder="1" applyAlignment="1" applyProtection="1">
      <alignment vertical="center" wrapText="1"/>
      <protection/>
    </xf>
    <xf numFmtId="0" fontId="0" fillId="0" borderId="82" xfId="0" applyBorder="1" applyAlignment="1" applyProtection="1">
      <alignment vertical="center" wrapText="1"/>
      <protection/>
    </xf>
    <xf numFmtId="0" fontId="0" fillId="0" borderId="11" xfId="0" applyFill="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1" fillId="0" borderId="83" xfId="0" applyFont="1" applyBorder="1" applyAlignment="1" applyProtection="1">
      <alignment vertical="center"/>
      <protection/>
    </xf>
    <xf numFmtId="174" fontId="1" fillId="25" borderId="30" xfId="143" applyNumberFormat="1" applyFont="1" applyFill="1" applyBorder="1" applyAlignment="1" applyProtection="1">
      <alignment vertical="center"/>
      <protection/>
    </xf>
    <xf numFmtId="0" fontId="1" fillId="0" borderId="37" xfId="0" applyFont="1" applyFill="1" applyBorder="1" applyAlignment="1" applyProtection="1">
      <alignment vertical="center"/>
      <protection/>
    </xf>
    <xf numFmtId="174" fontId="1" fillId="0" borderId="84" xfId="143" applyNumberFormat="1" applyFont="1" applyBorder="1" applyAlignment="1" applyProtection="1">
      <alignment vertical="center"/>
      <protection/>
    </xf>
    <xf numFmtId="0" fontId="1" fillId="25" borderId="47" xfId="0" applyFont="1" applyFill="1" applyBorder="1" applyAlignment="1" applyProtection="1">
      <alignment vertical="center"/>
      <protection/>
    </xf>
    <xf numFmtId="174" fontId="1" fillId="25" borderId="50" xfId="143" applyNumberFormat="1" applyFont="1" applyFill="1" applyBorder="1" applyAlignment="1" applyProtection="1">
      <alignment vertical="center"/>
      <protection/>
    </xf>
    <xf numFmtId="0" fontId="1" fillId="25" borderId="11" xfId="0" applyFont="1" applyFill="1" applyBorder="1" applyAlignment="1" applyProtection="1">
      <alignment vertical="center"/>
      <protection/>
    </xf>
    <xf numFmtId="174" fontId="1" fillId="25" borderId="14" xfId="143" applyNumberFormat="1" applyFont="1" applyFill="1" applyBorder="1" applyAlignment="1" applyProtection="1">
      <alignment vertical="center"/>
      <protection/>
    </xf>
    <xf numFmtId="0" fontId="1" fillId="25" borderId="24" xfId="0" applyFont="1" applyFill="1" applyBorder="1" applyAlignment="1" applyProtection="1">
      <alignment vertical="center"/>
      <protection/>
    </xf>
    <xf numFmtId="173" fontId="1" fillId="25" borderId="25" xfId="0" applyNumberFormat="1" applyFont="1" applyFill="1" applyBorder="1" applyAlignment="1" applyProtection="1">
      <alignment vertical="center"/>
      <protection/>
    </xf>
    <xf numFmtId="0" fontId="1" fillId="0" borderId="0" xfId="99" applyNumberFormat="1" applyFont="1" applyFill="1" applyBorder="1" applyAlignment="1" applyProtection="1">
      <alignment horizontal="center" vertical="center"/>
      <protection/>
    </xf>
    <xf numFmtId="170" fontId="10" fillId="26" borderId="85" xfId="99" applyNumberFormat="1" applyFont="1" applyFill="1" applyBorder="1" applyAlignment="1" applyProtection="1">
      <alignment vertical="center"/>
      <protection/>
    </xf>
    <xf numFmtId="170" fontId="10" fillId="34" borderId="85" xfId="99" applyNumberFormat="1" applyFont="1" applyFill="1" applyBorder="1" applyAlignment="1" applyProtection="1">
      <alignment vertical="center"/>
      <protection/>
    </xf>
    <xf numFmtId="170" fontId="10" fillId="27" borderId="85" xfId="99" applyNumberFormat="1" applyFont="1" applyFill="1" applyBorder="1" applyAlignment="1" applyProtection="1">
      <alignment vertical="center"/>
      <protection/>
    </xf>
    <xf numFmtId="170" fontId="10" fillId="0" borderId="85" xfId="99" applyNumberFormat="1" applyFont="1" applyFill="1" applyBorder="1" applyAlignment="1" applyProtection="1">
      <alignment vertical="center"/>
      <protection/>
    </xf>
    <xf numFmtId="179" fontId="0" fillId="29" borderId="33" xfId="99" applyNumberFormat="1" applyFont="1" applyFill="1" applyBorder="1" applyAlignment="1" applyProtection="1">
      <alignment vertical="center"/>
      <protection/>
    </xf>
    <xf numFmtId="179" fontId="0" fillId="31" borderId="51" xfId="99" applyNumberFormat="1" applyFont="1" applyFill="1" applyBorder="1" applyAlignment="1" applyProtection="1">
      <alignment vertical="center"/>
      <protection/>
    </xf>
    <xf numFmtId="9" fontId="0" fillId="26" borderId="19" xfId="143" applyFont="1" applyFill="1" applyBorder="1" applyAlignment="1" applyProtection="1">
      <alignment vertical="center"/>
      <protection/>
    </xf>
    <xf numFmtId="9" fontId="0" fillId="26" borderId="57" xfId="143" applyFont="1" applyFill="1" applyBorder="1" applyAlignment="1" applyProtection="1">
      <alignment vertical="center"/>
      <protection/>
    </xf>
    <xf numFmtId="170" fontId="10" fillId="26" borderId="57" xfId="99" applyNumberFormat="1" applyFont="1" applyFill="1" applyBorder="1" applyAlignment="1" applyProtection="1">
      <alignment vertical="center"/>
      <protection/>
    </xf>
    <xf numFmtId="170" fontId="10" fillId="34" borderId="57" xfId="99" applyNumberFormat="1" applyFont="1" applyFill="1" applyBorder="1" applyAlignment="1" applyProtection="1">
      <alignment vertical="center"/>
      <protection/>
    </xf>
    <xf numFmtId="170" fontId="10" fillId="27" borderId="57" xfId="99" applyNumberFormat="1" applyFont="1" applyFill="1" applyBorder="1" applyAlignment="1" applyProtection="1">
      <alignment vertical="center"/>
      <protection/>
    </xf>
    <xf numFmtId="170" fontId="10" fillId="0" borderId="57" xfId="99" applyNumberFormat="1" applyFont="1" applyFill="1" applyBorder="1" applyAlignment="1" applyProtection="1">
      <alignment vertical="center"/>
      <protection/>
    </xf>
    <xf numFmtId="179" fontId="0" fillId="32" borderId="33" xfId="99" applyNumberFormat="1" applyFont="1" applyFill="1" applyBorder="1" applyAlignment="1" applyProtection="1">
      <alignment vertical="center"/>
      <protection/>
    </xf>
    <xf numFmtId="10" fontId="1" fillId="26" borderId="10" xfId="143" applyNumberFormat="1" applyFont="1" applyFill="1" applyBorder="1" applyAlignment="1" applyProtection="1">
      <alignment vertical="center"/>
      <protection/>
    </xf>
    <xf numFmtId="0" fontId="1" fillId="0" borderId="11" xfId="0" applyFont="1" applyFill="1" applyBorder="1" applyAlignment="1" applyProtection="1">
      <alignment horizontal="center" vertical="center" wrapText="1"/>
      <protection/>
    </xf>
    <xf numFmtId="0" fontId="1" fillId="0" borderId="14" xfId="0" applyFont="1" applyFill="1" applyBorder="1" applyAlignment="1" applyProtection="1">
      <alignment horizontal="center" vertical="center" wrapText="1"/>
      <protection/>
    </xf>
    <xf numFmtId="173" fontId="0" fillId="0" borderId="0" xfId="96" applyNumberFormat="1" applyFont="1" applyAlignment="1" applyProtection="1" quotePrefix="1">
      <alignment vertical="center"/>
      <protection/>
    </xf>
    <xf numFmtId="173" fontId="0" fillId="0" borderId="0" xfId="96" applyNumberFormat="1" applyFont="1" applyAlignment="1" applyProtection="1">
      <alignment vertical="center"/>
      <protection/>
    </xf>
    <xf numFmtId="4" fontId="18" fillId="0" borderId="0" xfId="0" applyNumberFormat="1" applyFont="1" applyFill="1" applyBorder="1" applyAlignment="1" applyProtection="1">
      <alignment horizontal="center" vertical="center" wrapText="1"/>
      <protection/>
    </xf>
    <xf numFmtId="171" fontId="0" fillId="0" borderId="0" xfId="0" applyNumberFormat="1" applyFont="1" applyFill="1" applyBorder="1" applyAlignment="1" applyProtection="1">
      <alignment horizontal="center" vertical="center"/>
      <protection/>
    </xf>
    <xf numFmtId="173" fontId="0" fillId="0" borderId="58" xfId="96" applyNumberFormat="1" applyFont="1" applyFill="1" applyBorder="1" applyAlignment="1" applyProtection="1">
      <alignment vertical="center"/>
      <protection/>
    </xf>
    <xf numFmtId="173" fontId="1" fillId="24" borderId="27" xfId="96" applyNumberFormat="1" applyFont="1" applyFill="1" applyBorder="1" applyAlignment="1" applyProtection="1">
      <alignment vertical="center"/>
      <protection/>
    </xf>
    <xf numFmtId="173" fontId="1" fillId="0" borderId="35" xfId="96" applyNumberFormat="1" applyFont="1" applyFill="1" applyBorder="1" applyAlignment="1" applyProtection="1">
      <alignment vertical="center"/>
      <protection/>
    </xf>
    <xf numFmtId="173" fontId="1" fillId="25" borderId="40" xfId="96" applyNumberFormat="1" applyFont="1" applyFill="1" applyBorder="1" applyAlignment="1" applyProtection="1">
      <alignment vertical="center"/>
      <protection/>
    </xf>
    <xf numFmtId="173" fontId="1" fillId="0" borderId="30" xfId="96" applyNumberFormat="1" applyFont="1" applyFill="1" applyBorder="1" applyAlignment="1" applyProtection="1">
      <alignment vertical="center"/>
      <protection/>
    </xf>
    <xf numFmtId="173" fontId="1" fillId="24" borderId="30" xfId="96" applyNumberFormat="1" applyFont="1" applyFill="1" applyBorder="1" applyAlignment="1" applyProtection="1">
      <alignment vertical="center"/>
      <protection/>
    </xf>
    <xf numFmtId="173" fontId="1" fillId="24" borderId="45" xfId="96" applyNumberFormat="1" applyFont="1" applyFill="1" applyBorder="1" applyAlignment="1" applyProtection="1">
      <alignment vertical="center"/>
      <protection/>
    </xf>
    <xf numFmtId="173" fontId="0" fillId="0" borderId="0" xfId="96" applyNumberFormat="1" applyFont="1" applyAlignment="1" applyProtection="1">
      <alignment vertical="center"/>
      <protection/>
    </xf>
    <xf numFmtId="170" fontId="0" fillId="0" borderId="0" xfId="99" applyFont="1" applyAlignment="1" applyProtection="1">
      <alignment vertical="center"/>
      <protection/>
    </xf>
    <xf numFmtId="179" fontId="0" fillId="0" borderId="0" xfId="99" applyNumberFormat="1" applyFont="1" applyAlignment="1" applyProtection="1">
      <alignment vertical="center"/>
      <protection/>
    </xf>
    <xf numFmtId="0" fontId="0" fillId="0" borderId="0" xfId="0" applyFont="1" applyBorder="1" applyAlignment="1" applyProtection="1">
      <alignment vertical="center"/>
      <protection/>
    </xf>
    <xf numFmtId="173" fontId="0" fillId="0" borderId="0" xfId="96" applyNumberFormat="1" applyFont="1" applyBorder="1" applyAlignment="1" applyProtection="1">
      <alignment vertical="center"/>
      <protection/>
    </xf>
    <xf numFmtId="170" fontId="0" fillId="0" borderId="0" xfId="99" applyFont="1" applyBorder="1" applyAlignment="1" applyProtection="1">
      <alignment vertical="center"/>
      <protection/>
    </xf>
    <xf numFmtId="179" fontId="0" fillId="0" borderId="0" xfId="99" applyNumberFormat="1" applyFont="1" applyBorder="1" applyAlignment="1" applyProtection="1">
      <alignment vertical="center"/>
      <protection/>
    </xf>
    <xf numFmtId="181" fontId="0" fillId="0" borderId="0" xfId="0" applyNumberFormat="1" applyFont="1" applyBorder="1" applyAlignment="1" applyProtection="1">
      <alignment vertical="center"/>
      <protection/>
    </xf>
    <xf numFmtId="0" fontId="0" fillId="0" borderId="86" xfId="0" applyFont="1" applyBorder="1" applyAlignment="1" applyProtection="1">
      <alignment vertical="center"/>
      <protection/>
    </xf>
    <xf numFmtId="173" fontId="0" fillId="0" borderId="87" xfId="96" applyNumberFormat="1" applyFont="1" applyBorder="1" applyAlignment="1" applyProtection="1">
      <alignment vertical="center"/>
      <protection/>
    </xf>
    <xf numFmtId="173" fontId="0" fillId="0" borderId="88" xfId="96" applyNumberFormat="1" applyFont="1" applyBorder="1" applyAlignment="1" applyProtection="1">
      <alignment horizontal="center" vertical="center" wrapText="1"/>
      <protection/>
    </xf>
    <xf numFmtId="170" fontId="0" fillId="0" borderId="72" xfId="99" applyFont="1" applyBorder="1" applyAlignment="1" applyProtection="1">
      <alignment horizontal="center" vertical="center" wrapText="1"/>
      <protection/>
    </xf>
    <xf numFmtId="179" fontId="0" fillId="0" borderId="88" xfId="99" applyNumberFormat="1" applyFont="1" applyBorder="1" applyAlignment="1" applyProtection="1">
      <alignment horizontal="center" vertical="center" wrapText="1"/>
      <protection/>
    </xf>
    <xf numFmtId="179" fontId="0" fillId="0" borderId="81" xfId="99" applyNumberFormat="1" applyFont="1" applyBorder="1" applyAlignment="1" applyProtection="1">
      <alignment horizontal="center" vertical="center" wrapText="1"/>
      <protection/>
    </xf>
    <xf numFmtId="0" fontId="0" fillId="0" borderId="72" xfId="0" applyFont="1" applyBorder="1" applyAlignment="1" applyProtection="1">
      <alignment horizontal="center" vertical="center" wrapText="1"/>
      <protection/>
    </xf>
    <xf numFmtId="0" fontId="0" fillId="0" borderId="77" xfId="0" applyFont="1" applyBorder="1" applyAlignment="1" applyProtection="1">
      <alignment horizontal="center" vertical="center" wrapText="1"/>
      <protection/>
    </xf>
    <xf numFmtId="0" fontId="0" fillId="0" borderId="81" xfId="0" applyFont="1" applyBorder="1" applyAlignment="1" applyProtection="1">
      <alignment horizontal="center" vertical="center" wrapText="1"/>
      <protection/>
    </xf>
    <xf numFmtId="0" fontId="0" fillId="0" borderId="88" xfId="0" applyFont="1" applyBorder="1" applyAlignment="1" applyProtection="1">
      <alignment horizontal="center" vertical="center" wrapText="1"/>
      <protection/>
    </xf>
    <xf numFmtId="170" fontId="0" fillId="0" borderId="77" xfId="99" applyFont="1" applyBorder="1" applyAlignment="1" applyProtection="1">
      <alignment horizontal="center" vertical="center" wrapText="1"/>
      <protection/>
    </xf>
    <xf numFmtId="0" fontId="0" fillId="0" borderId="82" xfId="0" applyFont="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173" fontId="0" fillId="0" borderId="17" xfId="96" applyNumberFormat="1" applyFont="1" applyBorder="1" applyAlignment="1" applyProtection="1">
      <alignment vertical="center"/>
      <protection/>
    </xf>
    <xf numFmtId="170" fontId="0" fillId="0" borderId="16" xfId="99" applyFont="1" applyBorder="1" applyAlignment="1" applyProtection="1">
      <alignment vertical="center"/>
      <protection/>
    </xf>
    <xf numFmtId="179" fontId="0" fillId="0" borderId="18" xfId="99" applyNumberFormat="1" applyFont="1" applyBorder="1" applyAlignment="1" applyProtection="1">
      <alignment vertical="center"/>
      <protection/>
    </xf>
    <xf numFmtId="179" fontId="0" fillId="0" borderId="89" xfId="99" applyNumberFormat="1" applyFont="1" applyBorder="1" applyAlignment="1" applyProtection="1">
      <alignment vertical="center"/>
      <protection/>
    </xf>
    <xf numFmtId="179" fontId="0" fillId="0" borderId="19" xfId="0" applyNumberFormat="1" applyFont="1" applyBorder="1" applyAlignment="1" applyProtection="1">
      <alignment vertical="center"/>
      <protection/>
    </xf>
    <xf numFmtId="10" fontId="0" fillId="0" borderId="89" xfId="143" applyNumberFormat="1" applyFont="1" applyBorder="1" applyAlignment="1" applyProtection="1">
      <alignment vertical="center"/>
      <protection/>
    </xf>
    <xf numFmtId="173" fontId="0" fillId="0" borderId="18" xfId="96" applyNumberFormat="1" applyFont="1" applyBorder="1" applyAlignment="1" applyProtection="1">
      <alignment vertical="center"/>
      <protection/>
    </xf>
    <xf numFmtId="0" fontId="0" fillId="0" borderId="19" xfId="0" applyFont="1" applyBorder="1" applyAlignment="1" applyProtection="1">
      <alignment vertical="center"/>
      <protection/>
    </xf>
    <xf numFmtId="173" fontId="0" fillId="0" borderId="90" xfId="96" applyNumberFormat="1" applyFont="1" applyBorder="1" applyAlignment="1" applyProtection="1">
      <alignment vertical="center"/>
      <protection/>
    </xf>
    <xf numFmtId="0" fontId="0" fillId="0" borderId="21" xfId="0" applyFont="1" applyBorder="1" applyAlignment="1" applyProtection="1">
      <alignment vertical="center"/>
      <protection/>
    </xf>
    <xf numFmtId="179" fontId="0" fillId="0" borderId="61" xfId="99" applyNumberFormat="1" applyFont="1" applyBorder="1" applyAlignment="1" applyProtection="1">
      <alignment vertical="center"/>
      <protection/>
    </xf>
    <xf numFmtId="179" fontId="0" fillId="0" borderId="91" xfId="99" applyNumberFormat="1" applyFont="1" applyBorder="1" applyAlignment="1" applyProtection="1">
      <alignment vertical="center"/>
      <protection/>
    </xf>
    <xf numFmtId="170" fontId="0" fillId="0" borderId="20" xfId="99" applyFont="1" applyBorder="1" applyAlignment="1" applyProtection="1">
      <alignment vertical="center"/>
      <protection/>
    </xf>
    <xf numFmtId="179" fontId="0" fillId="0" borderId="21" xfId="0" applyNumberFormat="1" applyFont="1" applyBorder="1" applyAlignment="1" applyProtection="1">
      <alignment vertical="center"/>
      <protection/>
    </xf>
    <xf numFmtId="10" fontId="0" fillId="0" borderId="91" xfId="143" applyNumberFormat="1" applyFont="1" applyBorder="1" applyAlignment="1" applyProtection="1">
      <alignment vertical="center"/>
      <protection/>
    </xf>
    <xf numFmtId="0" fontId="0" fillId="0" borderId="23" xfId="0" applyFont="1" applyBorder="1" applyAlignment="1" applyProtection="1">
      <alignment vertical="center"/>
      <protection/>
    </xf>
    <xf numFmtId="179" fontId="0" fillId="0" borderId="63" xfId="99" applyNumberFormat="1" applyFont="1" applyBorder="1" applyAlignment="1" applyProtection="1">
      <alignment vertical="center"/>
      <protection/>
    </xf>
    <xf numFmtId="179" fontId="0" fillId="0" borderId="92" xfId="99" applyNumberFormat="1" applyFont="1" applyBorder="1" applyAlignment="1" applyProtection="1">
      <alignment vertical="center"/>
      <protection/>
    </xf>
    <xf numFmtId="170" fontId="0" fillId="0" borderId="22" xfId="99" applyFont="1" applyBorder="1" applyAlignment="1" applyProtection="1">
      <alignment vertical="center"/>
      <protection/>
    </xf>
    <xf numFmtId="179" fontId="0" fillId="0" borderId="23" xfId="0" applyNumberFormat="1" applyFont="1" applyBorder="1" applyAlignment="1" applyProtection="1">
      <alignment vertical="center"/>
      <protection/>
    </xf>
    <xf numFmtId="10" fontId="0" fillId="0" borderId="92" xfId="143" applyNumberFormat="1" applyFont="1" applyBorder="1" applyAlignment="1" applyProtection="1">
      <alignment vertical="center"/>
      <protection/>
    </xf>
    <xf numFmtId="170" fontId="0" fillId="0" borderId="16" xfId="99" applyNumberFormat="1" applyFont="1" applyBorder="1" applyAlignment="1" applyProtection="1">
      <alignment vertical="center"/>
      <protection/>
    </xf>
    <xf numFmtId="10" fontId="0" fillId="0" borderId="0" xfId="143" applyNumberFormat="1" applyFont="1" applyBorder="1" applyAlignment="1" applyProtection="1">
      <alignment vertical="center"/>
      <protection/>
    </xf>
    <xf numFmtId="0" fontId="0" fillId="0" borderId="74" xfId="0" applyFont="1" applyBorder="1" applyAlignment="1" applyProtection="1">
      <alignment vertical="center"/>
      <protection/>
    </xf>
    <xf numFmtId="173" fontId="0" fillId="0" borderId="93" xfId="96" applyNumberFormat="1" applyFont="1" applyBorder="1" applyAlignment="1" applyProtection="1">
      <alignment vertical="center"/>
      <protection/>
    </xf>
    <xf numFmtId="170" fontId="0" fillId="0" borderId="69" xfId="99" applyFont="1" applyBorder="1" applyAlignment="1" applyProtection="1">
      <alignment vertical="center"/>
      <protection/>
    </xf>
    <xf numFmtId="179" fontId="0" fillId="0" borderId="70" xfId="99" applyNumberFormat="1" applyFont="1" applyBorder="1" applyAlignment="1" applyProtection="1">
      <alignment vertical="center"/>
      <protection/>
    </xf>
    <xf numFmtId="179" fontId="0" fillId="0" borderId="94" xfId="99" applyNumberFormat="1" applyFont="1" applyBorder="1" applyAlignment="1" applyProtection="1">
      <alignment vertical="center"/>
      <protection/>
    </xf>
    <xf numFmtId="0" fontId="0" fillId="0" borderId="69" xfId="0" applyFont="1" applyBorder="1" applyAlignment="1" applyProtection="1">
      <alignment vertical="center"/>
      <protection/>
    </xf>
    <xf numFmtId="0" fontId="0" fillId="0" borderId="71" xfId="0" applyFont="1" applyBorder="1" applyAlignment="1" applyProtection="1">
      <alignment vertical="center"/>
      <protection/>
    </xf>
    <xf numFmtId="0" fontId="0" fillId="0" borderId="95" xfId="0" applyFont="1" applyBorder="1" applyAlignment="1" applyProtection="1">
      <alignment vertical="center"/>
      <protection/>
    </xf>
    <xf numFmtId="0" fontId="0" fillId="0" borderId="96" xfId="0" applyFont="1" applyBorder="1" applyAlignment="1" applyProtection="1">
      <alignment vertical="center"/>
      <protection/>
    </xf>
    <xf numFmtId="0" fontId="0" fillId="0" borderId="97" xfId="0" applyFont="1" applyBorder="1" applyAlignment="1" applyProtection="1">
      <alignment vertical="center"/>
      <protection/>
    </xf>
    <xf numFmtId="0" fontId="0" fillId="0" borderId="98" xfId="0" applyFont="1" applyBorder="1" applyAlignment="1" applyProtection="1">
      <alignment vertical="center"/>
      <protection/>
    </xf>
    <xf numFmtId="0" fontId="0" fillId="0" borderId="99" xfId="0" applyFont="1" applyBorder="1" applyAlignment="1" applyProtection="1">
      <alignment vertical="center"/>
      <protection/>
    </xf>
    <xf numFmtId="0" fontId="0" fillId="0" borderId="83" xfId="0" applyFont="1" applyBorder="1" applyAlignment="1" applyProtection="1">
      <alignment vertical="center"/>
      <protection/>
    </xf>
    <xf numFmtId="0" fontId="0" fillId="0" borderId="28" xfId="0" applyFont="1" applyBorder="1" applyAlignment="1" applyProtection="1">
      <alignment vertical="center"/>
      <protection/>
    </xf>
    <xf numFmtId="173" fontId="0" fillId="0" borderId="28" xfId="96" applyNumberFormat="1" applyFont="1" applyBorder="1" applyAlignment="1" applyProtection="1">
      <alignment vertical="center"/>
      <protection/>
    </xf>
    <xf numFmtId="170" fontId="0" fillId="0" borderId="96" xfId="99" applyFont="1" applyBorder="1" applyAlignment="1" applyProtection="1">
      <alignment vertical="center"/>
      <protection/>
    </xf>
    <xf numFmtId="179" fontId="0" fillId="0" borderId="96" xfId="99" applyNumberFormat="1" applyFont="1" applyBorder="1" applyAlignment="1" applyProtection="1">
      <alignment vertical="center"/>
      <protection/>
    </xf>
    <xf numFmtId="179" fontId="0" fillId="0" borderId="28" xfId="99" applyNumberFormat="1" applyFont="1" applyBorder="1" applyAlignment="1" applyProtection="1">
      <alignment vertical="center"/>
      <protection/>
    </xf>
    <xf numFmtId="179" fontId="0" fillId="0" borderId="100" xfId="99" applyNumberFormat="1" applyFont="1" applyBorder="1" applyAlignment="1" applyProtection="1">
      <alignment vertical="center"/>
      <protection/>
    </xf>
    <xf numFmtId="179" fontId="0" fillId="0" borderId="101" xfId="99" applyNumberFormat="1" applyFont="1" applyBorder="1" applyAlignment="1" applyProtection="1">
      <alignment vertical="center"/>
      <protection/>
    </xf>
    <xf numFmtId="0" fontId="3" fillId="0" borderId="71" xfId="0" applyFont="1" applyBorder="1" applyAlignment="1" applyProtection="1">
      <alignment horizontal="right" vertical="center"/>
      <protection/>
    </xf>
    <xf numFmtId="179" fontId="3" fillId="0" borderId="71" xfId="99" applyNumberFormat="1" applyFont="1" applyBorder="1" applyAlignment="1" applyProtection="1">
      <alignment vertical="center"/>
      <protection/>
    </xf>
    <xf numFmtId="0" fontId="0" fillId="0" borderId="78" xfId="0" applyFont="1" applyBorder="1" applyAlignment="1" applyProtection="1">
      <alignment vertical="center"/>
      <protection/>
    </xf>
    <xf numFmtId="0" fontId="0" fillId="0" borderId="36" xfId="0" applyFont="1" applyBorder="1" applyAlignment="1" applyProtection="1">
      <alignment vertical="center"/>
      <protection/>
    </xf>
    <xf numFmtId="0" fontId="0" fillId="0" borderId="102" xfId="0" applyFont="1" applyBorder="1" applyAlignment="1" applyProtection="1">
      <alignment vertical="center"/>
      <protection/>
    </xf>
    <xf numFmtId="179" fontId="0" fillId="0" borderId="0" xfId="99" applyNumberFormat="1" applyFont="1" applyFill="1" applyAlignment="1" applyProtection="1">
      <alignment vertical="center"/>
      <protection/>
    </xf>
    <xf numFmtId="180" fontId="0" fillId="0" borderId="0" xfId="0" applyNumberFormat="1" applyFont="1" applyFill="1" applyAlignment="1" applyProtection="1">
      <alignment vertical="center"/>
      <protection/>
    </xf>
    <xf numFmtId="179" fontId="1" fillId="0" borderId="0" xfId="99" applyNumberFormat="1" applyFont="1" applyFill="1" applyAlignment="1" applyProtection="1">
      <alignment vertical="center"/>
      <protection/>
    </xf>
    <xf numFmtId="173" fontId="0" fillId="0" borderId="0" xfId="96" applyNumberFormat="1" applyFont="1" applyFill="1" applyBorder="1" applyAlignment="1" applyProtection="1">
      <alignment horizontal="right" vertical="center"/>
      <protection/>
    </xf>
    <xf numFmtId="179" fontId="0" fillId="0" borderId="0" xfId="99" applyNumberFormat="1" applyFont="1" applyFill="1" applyBorder="1" applyAlignment="1" applyProtection="1">
      <alignment vertical="center"/>
      <protection/>
    </xf>
    <xf numFmtId="10" fontId="1" fillId="0" borderId="0" xfId="143" applyNumberFormat="1" applyFont="1" applyFill="1" applyBorder="1" applyAlignment="1" applyProtection="1">
      <alignment horizontal="center" vertical="center"/>
      <protection/>
    </xf>
    <xf numFmtId="0" fontId="0" fillId="0" borderId="0" xfId="96" applyNumberFormat="1" applyFont="1" applyFill="1" applyBorder="1" applyAlignment="1" applyProtection="1">
      <alignment horizontal="right" vertical="center"/>
      <protection/>
    </xf>
    <xf numFmtId="0" fontId="0" fillId="0" borderId="0" xfId="0" applyFont="1" applyFill="1" applyBorder="1" applyAlignment="1" applyProtection="1">
      <alignment/>
      <protection/>
    </xf>
    <xf numFmtId="180" fontId="0" fillId="0" borderId="0" xfId="0" applyNumberFormat="1" applyFont="1" applyFill="1" applyBorder="1" applyAlignment="1" applyProtection="1">
      <alignment vertical="center"/>
      <protection/>
    </xf>
    <xf numFmtId="191" fontId="0" fillId="0" borderId="0" xfId="99" applyNumberFormat="1" applyFont="1" applyFill="1" applyBorder="1" applyAlignment="1" applyProtection="1">
      <alignment vertical="center"/>
      <protection/>
    </xf>
    <xf numFmtId="37" fontId="0" fillId="0" borderId="0" xfId="99" applyNumberFormat="1" applyFont="1" applyFill="1" applyBorder="1" applyAlignment="1" applyProtection="1">
      <alignment vertical="center"/>
      <protection/>
    </xf>
    <xf numFmtId="0" fontId="0" fillId="0" borderId="0" xfId="96" applyNumberFormat="1" applyFont="1" applyAlignment="1" applyProtection="1">
      <alignment horizontal="right" vertical="center"/>
      <protection/>
    </xf>
    <xf numFmtId="0" fontId="0" fillId="0" borderId="0" xfId="0" applyFont="1" applyAlignment="1" applyProtection="1">
      <alignment/>
      <protection/>
    </xf>
    <xf numFmtId="179" fontId="0" fillId="0" borderId="0" xfId="99" applyNumberFormat="1" applyFont="1" applyFill="1" applyBorder="1" applyAlignment="1" applyProtection="1">
      <alignment horizontal="right" vertical="center"/>
      <protection/>
    </xf>
    <xf numFmtId="0" fontId="0" fillId="0" borderId="103" xfId="0" applyBorder="1" applyAlignment="1" applyProtection="1">
      <alignment horizontal="center" vertical="center"/>
      <protection/>
    </xf>
    <xf numFmtId="174" fontId="1" fillId="25" borderId="27" xfId="143" applyNumberFormat="1" applyFont="1" applyFill="1" applyBorder="1" applyAlignment="1" applyProtection="1">
      <alignment vertical="center"/>
      <protection/>
    </xf>
    <xf numFmtId="0" fontId="3" fillId="0" borderId="68" xfId="0" applyFont="1" applyBorder="1" applyAlignment="1" applyProtection="1">
      <alignment vertical="center"/>
      <protection/>
    </xf>
    <xf numFmtId="0" fontId="6" fillId="0" borderId="0" xfId="0" applyFont="1" applyAlignment="1" applyProtection="1">
      <alignment vertical="center"/>
      <protection/>
    </xf>
    <xf numFmtId="3" fontId="0" fillId="26" borderId="16" xfId="143" applyNumberFormat="1" applyFont="1" applyFill="1" applyBorder="1" applyAlignment="1" applyProtection="1">
      <alignment vertical="center"/>
      <protection/>
    </xf>
    <xf numFmtId="3" fontId="1" fillId="26" borderId="24" xfId="143" applyNumberFormat="1" applyFont="1" applyFill="1" applyBorder="1" applyAlignment="1" applyProtection="1">
      <alignment vertical="center"/>
      <protection/>
    </xf>
    <xf numFmtId="181" fontId="20" fillId="26" borderId="59" xfId="143" applyNumberFormat="1" applyFont="1" applyFill="1" applyBorder="1" applyAlignment="1" applyProtection="1">
      <alignment vertical="center"/>
      <protection/>
    </xf>
    <xf numFmtId="181" fontId="21" fillId="0" borderId="0" xfId="0" applyNumberFormat="1" applyFont="1" applyAlignment="1" applyProtection="1">
      <alignment vertical="center"/>
      <protection/>
    </xf>
    <xf numFmtId="181" fontId="0" fillId="0" borderId="0" xfId="0" applyNumberFormat="1" applyFill="1" applyBorder="1" applyAlignment="1" applyProtection="1">
      <alignment vertical="center"/>
      <protection/>
    </xf>
    <xf numFmtId="181" fontId="8" fillId="0" borderId="0" xfId="0" applyNumberFormat="1" applyFont="1" applyFill="1" applyBorder="1" applyAlignment="1" applyProtection="1">
      <alignment vertical="center"/>
      <protection/>
    </xf>
    <xf numFmtId="188" fontId="0" fillId="0" borderId="0" xfId="143" applyNumberFormat="1" applyFill="1" applyBorder="1" applyAlignment="1" applyProtection="1">
      <alignment horizontal="center" vertical="center"/>
      <protection/>
    </xf>
    <xf numFmtId="10" fontId="0" fillId="0" borderId="0" xfId="143" applyNumberFormat="1" applyFont="1" applyFill="1" applyBorder="1" applyAlignment="1" applyProtection="1">
      <alignment horizontal="center" vertical="center"/>
      <protection/>
    </xf>
    <xf numFmtId="173" fontId="0" fillId="0" borderId="0" xfId="96" applyNumberFormat="1" applyFill="1" applyBorder="1" applyAlignment="1" applyProtection="1">
      <alignment vertical="center"/>
      <protection/>
    </xf>
    <xf numFmtId="173" fontId="0" fillId="0" borderId="0" xfId="0" applyNumberFormat="1" applyFill="1" applyBorder="1" applyAlignment="1" applyProtection="1">
      <alignment vertical="center"/>
      <protection/>
    </xf>
    <xf numFmtId="175" fontId="0" fillId="0" borderId="0" xfId="0" applyNumberFormat="1" applyFill="1" applyBorder="1" applyAlignment="1" applyProtection="1">
      <alignment vertical="center"/>
      <protection/>
    </xf>
    <xf numFmtId="172" fontId="0" fillId="0" borderId="0" xfId="96" applyNumberFormat="1" applyFont="1" applyFill="1" applyBorder="1" applyAlignment="1" applyProtection="1">
      <alignment vertical="center"/>
      <protection/>
    </xf>
    <xf numFmtId="179" fontId="0" fillId="0" borderId="0" xfId="99" applyNumberFormat="1" applyFont="1" applyFill="1" applyBorder="1" applyAlignment="1" applyProtection="1">
      <alignment vertical="center"/>
      <protection/>
    </xf>
    <xf numFmtId="176" fontId="0" fillId="0" borderId="0" xfId="96" applyNumberFormat="1" applyFont="1" applyFill="1" applyBorder="1" applyAlignment="1" applyProtection="1">
      <alignment horizontal="center" vertical="center"/>
      <protection/>
    </xf>
    <xf numFmtId="172" fontId="0" fillId="0" borderId="0" xfId="96" applyNumberFormat="1" applyFont="1" applyFill="1" applyBorder="1" applyAlignment="1" applyProtection="1">
      <alignment horizontal="center" vertical="center"/>
      <protection/>
    </xf>
    <xf numFmtId="177" fontId="0" fillId="0" borderId="0" xfId="0" applyNumberFormat="1" applyFill="1" applyBorder="1" applyAlignment="1" applyProtection="1">
      <alignment vertical="center"/>
      <protection/>
    </xf>
    <xf numFmtId="170" fontId="0" fillId="0" borderId="0" xfId="99" applyFont="1" applyFill="1" applyBorder="1" applyAlignment="1" applyProtection="1">
      <alignment vertical="center"/>
      <protection/>
    </xf>
    <xf numFmtId="10" fontId="1" fillId="0" borderId="0" xfId="96" applyNumberFormat="1" applyFont="1" applyFill="1" applyBorder="1" applyAlignment="1" applyProtection="1">
      <alignment horizontal="right" vertical="center"/>
      <protection/>
    </xf>
    <xf numFmtId="182" fontId="1" fillId="0" borderId="0" xfId="0" applyNumberFormat="1" applyFont="1" applyFill="1" applyBorder="1" applyAlignment="1" applyProtection="1">
      <alignment vertical="center"/>
      <protection/>
    </xf>
    <xf numFmtId="179" fontId="17" fillId="0" borderId="0" xfId="99" applyNumberFormat="1" applyFont="1" applyFill="1" applyBorder="1" applyAlignment="1" applyProtection="1">
      <alignment vertical="center"/>
      <protection/>
    </xf>
    <xf numFmtId="0" fontId="0" fillId="0" borderId="81" xfId="0" applyFont="1" applyBorder="1" applyAlignment="1" applyProtection="1">
      <alignment vertical="center" wrapText="1"/>
      <protection/>
    </xf>
    <xf numFmtId="0" fontId="0" fillId="0" borderId="93" xfId="0" applyFont="1" applyBorder="1" applyAlignment="1" applyProtection="1">
      <alignment horizontal="center" vertical="center"/>
      <protection/>
    </xf>
    <xf numFmtId="0" fontId="0" fillId="0" borderId="94" xfId="0" applyFont="1" applyBorder="1" applyAlignment="1" applyProtection="1">
      <alignment horizontal="center" vertical="center"/>
      <protection/>
    </xf>
    <xf numFmtId="0" fontId="1" fillId="0" borderId="0" xfId="0" applyFont="1" applyBorder="1" applyAlignment="1" applyProtection="1">
      <alignment vertical="center"/>
      <protection/>
    </xf>
    <xf numFmtId="174" fontId="0" fillId="0" borderId="12" xfId="143" applyNumberFormat="1" applyFont="1" applyBorder="1" applyAlignment="1" applyProtection="1">
      <alignment vertical="center"/>
      <protection/>
    </xf>
    <xf numFmtId="174" fontId="1" fillId="0" borderId="12" xfId="143" applyNumberFormat="1" applyFont="1" applyBorder="1" applyAlignment="1" applyProtection="1">
      <alignment vertical="center"/>
      <protection/>
    </xf>
    <xf numFmtId="174" fontId="1" fillId="0" borderId="12" xfId="143" applyNumberFormat="1" applyFont="1" applyFill="1" applyBorder="1" applyAlignment="1" applyProtection="1">
      <alignment vertical="center"/>
      <protection/>
    </xf>
    <xf numFmtId="174" fontId="1" fillId="25" borderId="42" xfId="143" applyNumberFormat="1" applyFont="1" applyFill="1" applyBorder="1" applyAlignment="1" applyProtection="1">
      <alignment vertical="center"/>
      <protection/>
    </xf>
    <xf numFmtId="0" fontId="1" fillId="0" borderId="75" xfId="0" applyFont="1" applyFill="1" applyBorder="1" applyAlignment="1" applyProtection="1">
      <alignment vertical="center"/>
      <protection/>
    </xf>
    <xf numFmtId="174" fontId="1" fillId="0" borderId="75" xfId="143" applyNumberFormat="1" applyFont="1" applyFill="1" applyBorder="1" applyAlignment="1" applyProtection="1">
      <alignment vertical="center"/>
      <protection/>
    </xf>
    <xf numFmtId="0" fontId="1" fillId="25" borderId="74" xfId="0" applyFont="1" applyFill="1" applyBorder="1" applyAlignment="1" applyProtection="1">
      <alignment vertical="center"/>
      <protection/>
    </xf>
    <xf numFmtId="174" fontId="1" fillId="25" borderId="74" xfId="143" applyNumberFormat="1" applyFont="1" applyFill="1" applyBorder="1" applyAlignment="1" applyProtection="1">
      <alignment vertical="center"/>
      <protection/>
    </xf>
    <xf numFmtId="0" fontId="0" fillId="0" borderId="12" xfId="0" applyFont="1" applyBorder="1" applyAlignment="1" applyProtection="1">
      <alignment vertical="center"/>
      <protection/>
    </xf>
    <xf numFmtId="0" fontId="1" fillId="25" borderId="12" xfId="0" applyFont="1" applyFill="1" applyBorder="1" applyAlignment="1" applyProtection="1">
      <alignment vertical="center"/>
      <protection/>
    </xf>
    <xf numFmtId="174" fontId="1" fillId="25" borderId="12" xfId="143" applyNumberFormat="1" applyFont="1" applyFill="1" applyBorder="1" applyAlignment="1" applyProtection="1">
      <alignment vertical="center"/>
      <protection/>
    </xf>
    <xf numFmtId="0" fontId="1" fillId="25" borderId="25" xfId="0" applyFont="1" applyFill="1" applyBorder="1" applyAlignment="1" applyProtection="1">
      <alignment vertical="center"/>
      <protection/>
    </xf>
    <xf numFmtId="0" fontId="1" fillId="0" borderId="0" xfId="0" applyFont="1" applyFill="1" applyAlignment="1" applyProtection="1">
      <alignment vertical="center"/>
      <protection/>
    </xf>
    <xf numFmtId="0" fontId="1" fillId="0" borderId="0" xfId="0" applyFont="1" applyAlignment="1" applyProtection="1">
      <alignment vertical="center"/>
      <protection/>
    </xf>
    <xf numFmtId="9" fontId="2" fillId="0" borderId="36" xfId="0" applyNumberFormat="1" applyFont="1" applyBorder="1" applyAlignment="1" applyProtection="1">
      <alignment horizontal="right" vertical="center"/>
      <protection/>
    </xf>
    <xf numFmtId="9" fontId="1" fillId="0" borderId="104" xfId="0" applyNumberFormat="1" applyFont="1" applyBorder="1" applyAlignment="1" applyProtection="1">
      <alignment horizontal="center" vertical="center"/>
      <protection/>
    </xf>
    <xf numFmtId="0" fontId="3" fillId="0" borderId="93" xfId="0" applyFont="1" applyBorder="1" applyAlignment="1" applyProtection="1">
      <alignment horizontal="right" vertical="center"/>
      <protection/>
    </xf>
    <xf numFmtId="9" fontId="9" fillId="26" borderId="52" xfId="0" applyNumberFormat="1" applyFont="1" applyFill="1" applyBorder="1" applyAlignment="1" applyProtection="1">
      <alignment vertical="center"/>
      <protection/>
    </xf>
    <xf numFmtId="9" fontId="9" fillId="34" borderId="52" xfId="0" applyNumberFormat="1" applyFont="1" applyFill="1" applyBorder="1" applyAlignment="1" applyProtection="1">
      <alignment vertical="center"/>
      <protection/>
    </xf>
    <xf numFmtId="9" fontId="1" fillId="34" borderId="83" xfId="0" applyNumberFormat="1" applyFont="1" applyFill="1" applyBorder="1" applyAlignment="1" applyProtection="1">
      <alignment vertical="center"/>
      <protection/>
    </xf>
    <xf numFmtId="9" fontId="3" fillId="27" borderId="83" xfId="0" applyNumberFormat="1" applyFont="1" applyFill="1" applyBorder="1" applyAlignment="1" applyProtection="1">
      <alignment vertical="center"/>
      <protection/>
    </xf>
    <xf numFmtId="10" fontId="1" fillId="26" borderId="47" xfId="143" applyNumberFormat="1" applyFont="1" applyFill="1" applyBorder="1" applyAlignment="1" applyProtection="1">
      <alignment vertical="center"/>
      <protection/>
    </xf>
    <xf numFmtId="174" fontId="3" fillId="26" borderId="104" xfId="0" applyNumberFormat="1" applyFont="1" applyFill="1" applyBorder="1" applyAlignment="1" applyProtection="1">
      <alignment vertical="center"/>
      <protection/>
    </xf>
    <xf numFmtId="0" fontId="24" fillId="0" borderId="52" xfId="0" applyFont="1" applyFill="1" applyBorder="1" applyAlignment="1" applyProtection="1">
      <alignment vertical="center"/>
      <protection/>
    </xf>
    <xf numFmtId="0" fontId="3" fillId="0" borderId="52"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1" fillId="0" borderId="52" xfId="0" applyFont="1" applyFill="1" applyBorder="1" applyAlignment="1" applyProtection="1">
      <alignment vertical="center"/>
      <protection/>
    </xf>
    <xf numFmtId="0" fontId="0" fillId="0" borderId="52" xfId="0" applyFont="1" applyFill="1" applyBorder="1" applyAlignment="1" applyProtection="1">
      <alignment vertical="center"/>
      <protection/>
    </xf>
    <xf numFmtId="0" fontId="0" fillId="0" borderId="105" xfId="0" applyFont="1" applyBorder="1" applyAlignment="1" applyProtection="1">
      <alignment vertical="center"/>
      <protection/>
    </xf>
    <xf numFmtId="0" fontId="1" fillId="0" borderId="52" xfId="0" applyFont="1" applyFill="1" applyBorder="1" applyAlignment="1" applyProtection="1">
      <alignment horizontal="right" vertical="center"/>
      <protection/>
    </xf>
    <xf numFmtId="0" fontId="0" fillId="0" borderId="106" xfId="0" applyBorder="1" applyAlignment="1" applyProtection="1">
      <alignment horizontal="center" vertical="center"/>
      <protection/>
    </xf>
    <xf numFmtId="0" fontId="0" fillId="0" borderId="32" xfId="0" applyBorder="1" applyAlignment="1" applyProtection="1">
      <alignment vertical="center"/>
      <protection/>
    </xf>
    <xf numFmtId="0" fontId="0" fillId="0" borderId="69" xfId="0" applyBorder="1" applyAlignment="1" applyProtection="1">
      <alignment vertical="center"/>
      <protection/>
    </xf>
    <xf numFmtId="0" fontId="0" fillId="0" borderId="107" xfId="0" applyBorder="1" applyAlignment="1" applyProtection="1">
      <alignment vertical="center"/>
      <protection/>
    </xf>
    <xf numFmtId="0" fontId="0" fillId="0" borderId="0" xfId="0" applyFont="1" applyAlignment="1" applyProtection="1">
      <alignment vertical="center" wrapText="1"/>
      <protection/>
    </xf>
    <xf numFmtId="0" fontId="0" fillId="0" borderId="0" xfId="0" applyBorder="1" applyAlignment="1" applyProtection="1">
      <alignment vertical="center" wrapText="1"/>
      <protection/>
    </xf>
    <xf numFmtId="0" fontId="0" fillId="0" borderId="72" xfId="0" applyBorder="1" applyAlignment="1" applyProtection="1">
      <alignment vertical="center"/>
      <protection/>
    </xf>
    <xf numFmtId="0" fontId="0" fillId="0" borderId="47" xfId="0" applyBorder="1" applyAlignment="1" applyProtection="1">
      <alignment vertical="center"/>
      <protection/>
    </xf>
    <xf numFmtId="174" fontId="1" fillId="36" borderId="25" xfId="143" applyNumberFormat="1" applyFont="1" applyFill="1" applyBorder="1" applyAlignment="1" applyProtection="1">
      <alignment vertical="center"/>
      <protection/>
    </xf>
    <xf numFmtId="174" fontId="1" fillId="0" borderId="33" xfId="143" applyNumberFormat="1" applyFont="1" applyFill="1" applyBorder="1" applyAlignment="1" applyProtection="1">
      <alignment vertical="center"/>
      <protection/>
    </xf>
    <xf numFmtId="174" fontId="1" fillId="36" borderId="39" xfId="143" applyNumberFormat="1" applyFont="1" applyFill="1" applyBorder="1" applyAlignment="1" applyProtection="1">
      <alignment vertical="center"/>
      <protection/>
    </xf>
    <xf numFmtId="174" fontId="1" fillId="36" borderId="12" xfId="143" applyNumberFormat="1" applyFont="1" applyFill="1" applyBorder="1" applyAlignment="1" applyProtection="1">
      <alignment vertical="center"/>
      <protection/>
    </xf>
    <xf numFmtId="174" fontId="1" fillId="0" borderId="12" xfId="143" applyNumberFormat="1" applyFont="1" applyFill="1" applyBorder="1" applyAlignment="1" applyProtection="1">
      <alignment vertical="center"/>
      <protection/>
    </xf>
    <xf numFmtId="174" fontId="0" fillId="0" borderId="58" xfId="143" applyNumberFormat="1" applyFont="1" applyFill="1" applyBorder="1" applyAlignment="1" applyProtection="1">
      <alignment vertical="center"/>
      <protection/>
    </xf>
    <xf numFmtId="174" fontId="1" fillId="24" borderId="25" xfId="143" applyNumberFormat="1" applyFont="1" applyFill="1" applyBorder="1" applyAlignment="1" applyProtection="1">
      <alignment vertical="center"/>
      <protection/>
    </xf>
    <xf numFmtId="174" fontId="1" fillId="24" borderId="39" xfId="143" applyNumberFormat="1" applyFont="1" applyFill="1" applyBorder="1" applyAlignment="1" applyProtection="1">
      <alignment vertical="center"/>
      <protection/>
    </xf>
    <xf numFmtId="174" fontId="1" fillId="24" borderId="12" xfId="143" applyNumberFormat="1" applyFont="1" applyFill="1" applyBorder="1" applyAlignment="1" applyProtection="1">
      <alignment vertical="center"/>
      <protection/>
    </xf>
    <xf numFmtId="174" fontId="1" fillId="0" borderId="42" xfId="143" applyNumberFormat="1" applyFont="1" applyFill="1" applyBorder="1" applyAlignment="1" applyProtection="1">
      <alignment vertical="center"/>
      <protection/>
    </xf>
    <xf numFmtId="174" fontId="1" fillId="24" borderId="42" xfId="143" applyNumberFormat="1" applyFont="1" applyFill="1" applyBorder="1" applyAlignment="1" applyProtection="1">
      <alignment vertical="center"/>
      <protection/>
    </xf>
    <xf numFmtId="174" fontId="0" fillId="0" borderId="19" xfId="143" applyNumberFormat="1" applyFont="1" applyBorder="1" applyAlignment="1" applyProtection="1">
      <alignment vertical="center"/>
      <protection/>
    </xf>
    <xf numFmtId="174" fontId="0" fillId="0" borderId="21" xfId="143" applyNumberFormat="1" applyFont="1" applyBorder="1" applyAlignment="1" applyProtection="1">
      <alignment vertical="center"/>
      <protection/>
    </xf>
    <xf numFmtId="174" fontId="0" fillId="0" borderId="23" xfId="143" applyNumberFormat="1" applyFont="1" applyBorder="1" applyAlignment="1" applyProtection="1">
      <alignment vertical="center"/>
      <protection/>
    </xf>
    <xf numFmtId="174" fontId="1" fillId="25" borderId="39" xfId="143" applyNumberFormat="1" applyFont="1" applyFill="1" applyBorder="1" applyAlignment="1" applyProtection="1">
      <alignment vertical="center"/>
      <protection/>
    </xf>
    <xf numFmtId="174" fontId="1" fillId="24" borderId="44" xfId="143" applyNumberFormat="1" applyFont="1" applyFill="1" applyBorder="1" applyAlignment="1" applyProtection="1">
      <alignment vertical="center"/>
      <protection/>
    </xf>
    <xf numFmtId="174" fontId="0" fillId="0" borderId="89" xfId="143" applyNumberFormat="1" applyFont="1" applyBorder="1" applyAlignment="1" applyProtection="1">
      <alignment vertical="center"/>
      <protection/>
    </xf>
    <xf numFmtId="174" fontId="0" fillId="0" borderId="18" xfId="143" applyNumberFormat="1" applyFont="1" applyBorder="1" applyAlignment="1" applyProtection="1">
      <alignment vertical="center"/>
      <protection/>
    </xf>
    <xf numFmtId="174" fontId="0" fillId="0" borderId="61" xfId="143" applyNumberFormat="1" applyFont="1" applyBorder="1" applyAlignment="1" applyProtection="1">
      <alignment vertical="center"/>
      <protection/>
    </xf>
    <xf numFmtId="174" fontId="0" fillId="0" borderId="63" xfId="143" applyNumberFormat="1" applyFont="1" applyBorder="1" applyAlignment="1" applyProtection="1">
      <alignment vertical="center"/>
      <protection/>
    </xf>
    <xf numFmtId="174" fontId="1" fillId="24" borderId="29" xfId="143" applyNumberFormat="1" applyFont="1" applyFill="1" applyBorder="1" applyAlignment="1" applyProtection="1">
      <alignment vertical="center"/>
      <protection/>
    </xf>
    <xf numFmtId="174" fontId="1" fillId="24" borderId="30" xfId="143" applyNumberFormat="1" applyFont="1" applyFill="1" applyBorder="1" applyAlignment="1" applyProtection="1">
      <alignment vertical="center"/>
      <protection/>
    </xf>
    <xf numFmtId="174" fontId="1" fillId="0" borderId="36" xfId="143" applyNumberFormat="1" applyFont="1" applyFill="1" applyBorder="1" applyAlignment="1" applyProtection="1">
      <alignment vertical="center"/>
      <protection/>
    </xf>
    <xf numFmtId="174" fontId="1" fillId="0" borderId="84" xfId="143" applyNumberFormat="1" applyFont="1" applyFill="1" applyBorder="1" applyAlignment="1" applyProtection="1">
      <alignment vertical="center"/>
      <protection/>
    </xf>
    <xf numFmtId="174" fontId="1" fillId="25" borderId="41" xfId="143" applyNumberFormat="1" applyFont="1" applyFill="1" applyBorder="1" applyAlignment="1" applyProtection="1">
      <alignment vertical="center"/>
      <protection/>
    </xf>
    <xf numFmtId="174" fontId="1" fillId="25" borderId="40" xfId="143" applyNumberFormat="1" applyFont="1" applyFill="1" applyBorder="1" applyAlignment="1" applyProtection="1">
      <alignment vertical="center"/>
      <protection/>
    </xf>
    <xf numFmtId="174" fontId="0" fillId="0" borderId="91" xfId="143" applyNumberFormat="1" applyFont="1" applyBorder="1" applyAlignment="1" applyProtection="1">
      <alignment vertical="center"/>
      <protection/>
    </xf>
    <xf numFmtId="174" fontId="0" fillId="0" borderId="92" xfId="143" applyNumberFormat="1" applyFont="1" applyBorder="1" applyAlignment="1" applyProtection="1">
      <alignment vertical="center"/>
      <protection/>
    </xf>
    <xf numFmtId="174" fontId="1" fillId="24" borderId="15" xfId="143" applyNumberFormat="1" applyFont="1" applyFill="1" applyBorder="1" applyAlignment="1" applyProtection="1">
      <alignment vertical="center"/>
      <protection/>
    </xf>
    <xf numFmtId="174" fontId="1" fillId="24" borderId="14" xfId="143" applyNumberFormat="1" applyFont="1" applyFill="1" applyBorder="1" applyAlignment="1" applyProtection="1">
      <alignment vertical="center"/>
      <protection/>
    </xf>
    <xf numFmtId="174" fontId="1" fillId="0" borderId="29" xfId="143" applyNumberFormat="1" applyFont="1" applyFill="1" applyBorder="1" applyAlignment="1" applyProtection="1">
      <alignment vertical="center"/>
      <protection/>
    </xf>
    <xf numFmtId="174" fontId="1" fillId="0" borderId="30" xfId="143" applyNumberFormat="1" applyFont="1" applyFill="1" applyBorder="1" applyAlignment="1" applyProtection="1">
      <alignment vertical="center"/>
      <protection/>
    </xf>
    <xf numFmtId="174" fontId="1" fillId="24" borderId="46" xfId="143" applyNumberFormat="1" applyFont="1" applyFill="1" applyBorder="1" applyAlignment="1" applyProtection="1">
      <alignment vertical="center"/>
      <protection/>
    </xf>
    <xf numFmtId="174" fontId="1" fillId="24" borderId="45" xfId="143" applyNumberFormat="1" applyFont="1" applyFill="1" applyBorder="1" applyAlignment="1" applyProtection="1">
      <alignment vertical="center"/>
      <protection/>
    </xf>
    <xf numFmtId="174" fontId="1" fillId="24" borderId="108" xfId="143" applyNumberFormat="1" applyFont="1" applyFill="1" applyBorder="1" applyAlignment="1" applyProtection="1">
      <alignment vertical="center"/>
      <protection/>
    </xf>
    <xf numFmtId="174" fontId="0" fillId="0" borderId="109" xfId="143" applyNumberFormat="1" applyFont="1" applyBorder="1" applyAlignment="1" applyProtection="1">
      <alignment vertical="center"/>
      <protection/>
    </xf>
    <xf numFmtId="174" fontId="1" fillId="24" borderId="110" xfId="143" applyNumberFormat="1" applyFont="1" applyFill="1" applyBorder="1" applyAlignment="1" applyProtection="1">
      <alignment vertical="center"/>
      <protection/>
    </xf>
    <xf numFmtId="174" fontId="1" fillId="0" borderId="75" xfId="143" applyNumberFormat="1" applyFont="1" applyFill="1" applyBorder="1" applyAlignment="1" applyProtection="1">
      <alignment vertical="center"/>
      <protection/>
    </xf>
    <xf numFmtId="174" fontId="1" fillId="0" borderId="102" xfId="143" applyNumberFormat="1" applyFont="1" applyFill="1" applyBorder="1" applyAlignment="1" applyProtection="1">
      <alignment vertical="center"/>
      <protection/>
    </xf>
    <xf numFmtId="174" fontId="1" fillId="25" borderId="106" xfId="143" applyNumberFormat="1" applyFont="1" applyFill="1" applyBorder="1" applyAlignment="1" applyProtection="1">
      <alignment vertical="center"/>
      <protection/>
    </xf>
    <xf numFmtId="174" fontId="0" fillId="0" borderId="111" xfId="143" applyNumberFormat="1" applyFont="1" applyBorder="1" applyAlignment="1" applyProtection="1">
      <alignment vertical="center"/>
      <protection/>
    </xf>
    <xf numFmtId="174" fontId="0" fillId="0" borderId="112" xfId="143" applyNumberFormat="1" applyFont="1" applyBorder="1" applyAlignment="1" applyProtection="1">
      <alignment vertical="center"/>
      <protection/>
    </xf>
    <xf numFmtId="174" fontId="1" fillId="0" borderId="110" xfId="143" applyNumberFormat="1" applyFont="1" applyFill="1" applyBorder="1" applyAlignment="1" applyProtection="1">
      <alignment vertical="center"/>
      <protection/>
    </xf>
    <xf numFmtId="174" fontId="1" fillId="24" borderId="113" xfId="143" applyNumberFormat="1" applyFont="1" applyFill="1" applyBorder="1" applyAlignment="1" applyProtection="1">
      <alignment vertical="center"/>
      <protection/>
    </xf>
    <xf numFmtId="173" fontId="1" fillId="25" borderId="15" xfId="96" applyNumberFormat="1" applyFont="1" applyFill="1" applyBorder="1" applyAlignment="1" applyProtection="1">
      <alignment vertical="center"/>
      <protection/>
    </xf>
    <xf numFmtId="184" fontId="1" fillId="0" borderId="114" xfId="96" applyNumberFormat="1" applyFont="1" applyFill="1" applyBorder="1" applyAlignment="1" applyProtection="1">
      <alignment horizontal="center" vertical="center"/>
      <protection/>
    </xf>
    <xf numFmtId="184" fontId="1" fillId="0" borderId="111" xfId="96" applyNumberFormat="1" applyFont="1" applyFill="1" applyBorder="1" applyAlignment="1" applyProtection="1">
      <alignment horizontal="center" vertical="center"/>
      <protection/>
    </xf>
    <xf numFmtId="184" fontId="1" fillId="0" borderId="115" xfId="96" applyNumberFormat="1" applyFont="1" applyFill="1" applyBorder="1" applyAlignment="1" applyProtection="1">
      <alignment horizontal="center" vertical="center"/>
      <protection/>
    </xf>
    <xf numFmtId="184" fontId="1" fillId="25" borderId="116" xfId="96" applyNumberFormat="1" applyFont="1" applyFill="1" applyBorder="1" applyAlignment="1" applyProtection="1">
      <alignment horizontal="center" vertical="center"/>
      <protection/>
    </xf>
    <xf numFmtId="173" fontId="1" fillId="36" borderId="41" xfId="96" applyNumberFormat="1" applyFont="1" applyFill="1" applyBorder="1" applyAlignment="1" applyProtection="1">
      <alignment vertical="center"/>
      <protection/>
    </xf>
    <xf numFmtId="173" fontId="5" fillId="35" borderId="89" xfId="96" applyNumberFormat="1" applyFont="1" applyFill="1" applyBorder="1" applyAlignment="1" applyProtection="1">
      <alignment vertical="center"/>
      <protection/>
    </xf>
    <xf numFmtId="173" fontId="3" fillId="25" borderId="15" xfId="0" applyNumberFormat="1" applyFont="1" applyFill="1" applyBorder="1" applyAlignment="1" applyProtection="1">
      <alignment vertical="center"/>
      <protection/>
    </xf>
    <xf numFmtId="173" fontId="3" fillId="0" borderId="96" xfId="0" applyNumberFormat="1" applyFont="1" applyBorder="1" applyAlignment="1" applyProtection="1">
      <alignment vertical="center"/>
      <protection/>
    </xf>
    <xf numFmtId="173" fontId="1" fillId="25" borderId="11" xfId="96" applyNumberFormat="1" applyFont="1" applyFill="1" applyBorder="1" applyAlignment="1" applyProtection="1">
      <alignment vertical="center"/>
      <protection/>
    </xf>
    <xf numFmtId="187" fontId="1" fillId="0" borderId="16" xfId="99" applyNumberFormat="1" applyFont="1" applyFill="1" applyBorder="1" applyAlignment="1" applyProtection="1">
      <alignment horizontal="center" vertical="center"/>
      <protection/>
    </xf>
    <xf numFmtId="187" fontId="1" fillId="24" borderId="24" xfId="0" applyNumberFormat="1" applyFont="1" applyFill="1" applyBorder="1" applyAlignment="1" applyProtection="1">
      <alignment horizontal="center" vertical="center"/>
      <protection/>
    </xf>
    <xf numFmtId="173" fontId="1" fillId="0" borderId="32" xfId="96" applyNumberFormat="1" applyFont="1" applyFill="1" applyBorder="1" applyAlignment="1" applyProtection="1">
      <alignment vertical="center"/>
      <protection/>
    </xf>
    <xf numFmtId="173" fontId="1" fillId="36" borderId="38" xfId="96" applyNumberFormat="1" applyFont="1" applyFill="1" applyBorder="1" applyAlignment="1" applyProtection="1">
      <alignment vertical="center"/>
      <protection/>
    </xf>
    <xf numFmtId="173" fontId="5" fillId="35" borderId="16" xfId="96" applyNumberFormat="1" applyFont="1" applyFill="1" applyBorder="1" applyAlignment="1" applyProtection="1">
      <alignment vertical="center"/>
      <protection/>
    </xf>
    <xf numFmtId="173" fontId="3" fillId="25" borderId="11" xfId="0" applyNumberFormat="1" applyFont="1" applyFill="1" applyBorder="1" applyAlignment="1" applyProtection="1">
      <alignment vertical="center"/>
      <protection/>
    </xf>
    <xf numFmtId="173" fontId="3" fillId="0" borderId="69" xfId="0" applyNumberFormat="1" applyFont="1" applyBorder="1" applyAlignment="1" applyProtection="1">
      <alignment vertical="center"/>
      <protection/>
    </xf>
    <xf numFmtId="173" fontId="0" fillId="0" borderId="117" xfId="96" applyNumberFormat="1" applyFont="1" applyFill="1" applyBorder="1" applyAlignment="1" applyProtection="1">
      <alignment vertical="center"/>
      <protection/>
    </xf>
    <xf numFmtId="173" fontId="0" fillId="0" borderId="58" xfId="0" applyNumberFormat="1" applyFont="1" applyFill="1" applyBorder="1" applyAlignment="1" applyProtection="1">
      <alignment vertical="center"/>
      <protection/>
    </xf>
    <xf numFmtId="174" fontId="0" fillId="0" borderId="17" xfId="143" applyNumberFormat="1" applyFont="1" applyFill="1" applyBorder="1" applyAlignment="1" applyProtection="1">
      <alignment vertical="center"/>
      <protection/>
    </xf>
    <xf numFmtId="173" fontId="0" fillId="0" borderId="21" xfId="96" applyNumberFormat="1" applyFont="1" applyFill="1" applyBorder="1" applyAlignment="1" applyProtection="1">
      <alignment vertical="center"/>
      <protection/>
    </xf>
    <xf numFmtId="174" fontId="0" fillId="0" borderId="21" xfId="143" applyNumberFormat="1" applyFont="1" applyFill="1" applyBorder="1" applyAlignment="1" applyProtection="1">
      <alignment vertical="center"/>
      <protection/>
    </xf>
    <xf numFmtId="173" fontId="0" fillId="0" borderId="118" xfId="96" applyNumberFormat="1" applyFont="1" applyFill="1" applyBorder="1" applyAlignment="1" applyProtection="1">
      <alignment vertical="center"/>
      <protection/>
    </xf>
    <xf numFmtId="173" fontId="0" fillId="0" borderId="21" xfId="0" applyNumberFormat="1" applyFont="1" applyFill="1" applyBorder="1" applyAlignment="1" applyProtection="1">
      <alignment vertical="center"/>
      <protection/>
    </xf>
    <xf numFmtId="174" fontId="0" fillId="0" borderId="61" xfId="143" applyNumberFormat="1" applyFont="1" applyFill="1" applyBorder="1" applyAlignment="1" applyProtection="1">
      <alignment vertical="center"/>
      <protection/>
    </xf>
    <xf numFmtId="173" fontId="0" fillId="0" borderId="119" xfId="96" applyNumberFormat="1" applyFont="1" applyFill="1" applyBorder="1" applyAlignment="1" applyProtection="1">
      <alignment vertical="center"/>
      <protection/>
    </xf>
    <xf numFmtId="174" fontId="0" fillId="0" borderId="119" xfId="143" applyNumberFormat="1" applyFont="1" applyFill="1" applyBorder="1" applyAlignment="1" applyProtection="1">
      <alignment vertical="center"/>
      <protection/>
    </xf>
    <xf numFmtId="173" fontId="0" fillId="0" borderId="120" xfId="96" applyNumberFormat="1" applyFont="1" applyFill="1" applyBorder="1" applyAlignment="1" applyProtection="1">
      <alignment vertical="center"/>
      <protection/>
    </xf>
    <xf numFmtId="10" fontId="0" fillId="0" borderId="119" xfId="143" applyNumberFormat="1" applyFont="1" applyFill="1" applyBorder="1" applyAlignment="1" applyProtection="1">
      <alignment vertical="center"/>
      <protection/>
    </xf>
    <xf numFmtId="173" fontId="0" fillId="0" borderId="119" xfId="0" applyNumberFormat="1" applyBorder="1" applyAlignment="1" applyProtection="1">
      <alignment vertical="center"/>
      <protection/>
    </xf>
    <xf numFmtId="174" fontId="0" fillId="0" borderId="121" xfId="143" applyNumberFormat="1" applyFont="1" applyBorder="1" applyAlignment="1" applyProtection="1">
      <alignment vertical="center"/>
      <protection/>
    </xf>
    <xf numFmtId="173" fontId="0" fillId="0" borderId="117" xfId="143" applyNumberFormat="1" applyFont="1" applyBorder="1" applyAlignment="1" applyProtection="1">
      <alignment vertical="center"/>
      <protection/>
    </xf>
    <xf numFmtId="173" fontId="0" fillId="0" borderId="118" xfId="143" applyNumberFormat="1" applyFont="1" applyBorder="1" applyAlignment="1" applyProtection="1">
      <alignment vertical="center"/>
      <protection/>
    </xf>
    <xf numFmtId="173" fontId="0" fillId="0" borderId="120" xfId="143" applyNumberFormat="1" applyFont="1" applyBorder="1" applyAlignment="1" applyProtection="1">
      <alignment vertical="center"/>
      <protection/>
    </xf>
    <xf numFmtId="0" fontId="0" fillId="0" borderId="0" xfId="0" applyBorder="1" applyAlignment="1" applyProtection="1">
      <alignment horizontal="center" vertical="center" wrapText="1"/>
      <protection/>
    </xf>
    <xf numFmtId="0" fontId="0" fillId="0" borderId="31" xfId="0" applyBorder="1" applyAlignment="1" applyProtection="1">
      <alignment horizontal="center" vertical="center" wrapText="1"/>
      <protection/>
    </xf>
    <xf numFmtId="0" fontId="0" fillId="0" borderId="47" xfId="0" applyBorder="1" applyAlignment="1" applyProtection="1">
      <alignment horizontal="center" vertical="center"/>
      <protection/>
    </xf>
    <xf numFmtId="166" fontId="0" fillId="0" borderId="32" xfId="0" applyNumberFormat="1" applyFont="1" applyBorder="1" applyAlignment="1" applyProtection="1">
      <alignment horizontal="center" vertical="center"/>
      <protection/>
    </xf>
    <xf numFmtId="0" fontId="0" fillId="0" borderId="30" xfId="0" applyBorder="1" applyAlignment="1" applyProtection="1">
      <alignment horizontal="center" vertical="center" wrapText="1"/>
      <protection/>
    </xf>
    <xf numFmtId="0" fontId="22" fillId="0" borderId="0" xfId="0" applyFont="1" applyBorder="1" applyAlignment="1" applyProtection="1">
      <alignment horizontal="left" vertical="center"/>
      <protection/>
    </xf>
    <xf numFmtId="0" fontId="23" fillId="0" borderId="0" xfId="0" applyFont="1" applyFill="1" applyBorder="1" applyAlignment="1" applyProtection="1">
      <alignment vertical="center"/>
      <protection/>
    </xf>
    <xf numFmtId="0" fontId="23" fillId="0" borderId="0" xfId="0" applyFont="1" applyBorder="1" applyAlignment="1" applyProtection="1">
      <alignment vertical="center"/>
      <protection/>
    </xf>
    <xf numFmtId="0" fontId="24" fillId="0" borderId="78" xfId="0" applyFont="1" applyFill="1" applyBorder="1" applyAlignment="1" applyProtection="1">
      <alignment horizontal="center" vertical="center" wrapText="1"/>
      <protection/>
    </xf>
    <xf numFmtId="0" fontId="24" fillId="0" borderId="51" xfId="0" applyFont="1" applyBorder="1" applyAlignment="1" applyProtection="1">
      <alignment horizontal="center" vertical="center" wrapText="1"/>
      <protection/>
    </xf>
    <xf numFmtId="4" fontId="24" fillId="0" borderId="0" xfId="0" applyNumberFormat="1" applyFont="1" applyFill="1" applyBorder="1" applyAlignment="1" applyProtection="1">
      <alignment horizontal="center" vertical="center"/>
      <protection/>
    </xf>
    <xf numFmtId="4" fontId="24" fillId="0" borderId="32" xfId="0" applyNumberFormat="1" applyFont="1" applyFill="1" applyBorder="1" applyAlignment="1" applyProtection="1">
      <alignment horizontal="center" vertical="center"/>
      <protection/>
    </xf>
    <xf numFmtId="4" fontId="24" fillId="22" borderId="11" xfId="0" applyNumberFormat="1" applyFont="1" applyFill="1" applyBorder="1" applyAlignment="1" applyProtection="1">
      <alignment horizontal="center" vertical="center"/>
      <protection/>
    </xf>
    <xf numFmtId="0" fontId="0" fillId="0" borderId="51" xfId="0" applyBorder="1" applyAlignment="1" applyProtection="1">
      <alignment vertical="center"/>
      <protection/>
    </xf>
    <xf numFmtId="4" fontId="24" fillId="22" borderId="24" xfId="0" applyNumberFormat="1" applyFont="1" applyFill="1" applyBorder="1" applyAlignment="1" applyProtection="1">
      <alignment horizontal="center" vertical="center"/>
      <protection/>
    </xf>
    <xf numFmtId="0" fontId="0" fillId="0" borderId="10" xfId="0" applyBorder="1" applyAlignment="1" applyProtection="1">
      <alignment vertical="center"/>
      <protection/>
    </xf>
    <xf numFmtId="0" fontId="24" fillId="0" borderId="0" xfId="0" applyFont="1" applyBorder="1" applyAlignment="1" applyProtection="1">
      <alignment vertical="center"/>
      <protection/>
    </xf>
    <xf numFmtId="0" fontId="24" fillId="0" borderId="0" xfId="0" applyFont="1" applyFill="1" applyBorder="1" applyAlignment="1" applyProtection="1">
      <alignment vertical="center"/>
      <protection/>
    </xf>
    <xf numFmtId="0" fontId="24" fillId="0" borderId="0" xfId="0" applyFont="1" applyBorder="1" applyAlignment="1" applyProtection="1" quotePrefix="1">
      <alignment vertical="center"/>
      <protection/>
    </xf>
    <xf numFmtId="0" fontId="0" fillId="0" borderId="0" xfId="0" applyAlignment="1" applyProtection="1">
      <alignment horizontal="left" vertical="center"/>
      <protection/>
    </xf>
    <xf numFmtId="0" fontId="1" fillId="33" borderId="78" xfId="0" applyFont="1" applyFill="1" applyBorder="1" applyAlignment="1" applyProtection="1">
      <alignment horizontal="center" vertical="center" wrapText="1"/>
      <protection/>
    </xf>
    <xf numFmtId="0" fontId="1" fillId="33" borderId="51" xfId="0" applyFont="1" applyFill="1" applyBorder="1" applyAlignment="1" applyProtection="1">
      <alignment horizontal="center" vertical="center" wrapText="1"/>
      <protection/>
    </xf>
    <xf numFmtId="179" fontId="1" fillId="33" borderId="51" xfId="99" applyNumberFormat="1" applyFont="1" applyFill="1" applyBorder="1" applyAlignment="1" applyProtection="1">
      <alignment vertical="center"/>
      <protection/>
    </xf>
    <xf numFmtId="0" fontId="0" fillId="0" borderId="51" xfId="0" applyBorder="1" applyAlignment="1" applyProtection="1">
      <alignment/>
      <protection/>
    </xf>
    <xf numFmtId="0" fontId="7" fillId="0" borderId="0" xfId="0" applyFont="1" applyBorder="1" applyAlignment="1" applyProtection="1">
      <alignment horizontal="center" vertical="center"/>
      <protection/>
    </xf>
    <xf numFmtId="0" fontId="6" fillId="0" borderId="0" xfId="0" applyFont="1" applyAlignment="1">
      <alignment wrapText="1"/>
    </xf>
    <xf numFmtId="166" fontId="0" fillId="0" borderId="83" xfId="0" applyNumberFormat="1" applyFont="1" applyFill="1" applyBorder="1" applyAlignment="1" applyProtection="1">
      <alignment horizontal="center" vertical="center"/>
      <protection/>
    </xf>
    <xf numFmtId="174" fontId="0" fillId="0" borderId="12" xfId="143" applyNumberFormat="1" applyFont="1" applyBorder="1" applyAlignment="1" applyProtection="1">
      <alignment horizontal="right" vertical="center"/>
      <protection/>
    </xf>
    <xf numFmtId="174" fontId="1" fillId="0" borderId="12" xfId="143" applyNumberFormat="1" applyFont="1" applyFill="1" applyBorder="1" applyAlignment="1" applyProtection="1">
      <alignment horizontal="right" vertical="center"/>
      <protection/>
    </xf>
    <xf numFmtId="0" fontId="0" fillId="0" borderId="52" xfId="0" applyFill="1" applyBorder="1" applyAlignment="1" applyProtection="1">
      <alignment vertical="center"/>
      <protection/>
    </xf>
    <xf numFmtId="184" fontId="1" fillId="0" borderId="34" xfId="96" applyNumberFormat="1" applyFont="1" applyFill="1" applyBorder="1" applyAlignment="1" applyProtection="1">
      <alignment horizontal="center" vertical="center"/>
      <protection/>
    </xf>
    <xf numFmtId="184" fontId="1" fillId="0" borderId="52" xfId="96" applyNumberFormat="1" applyFont="1" applyFill="1" applyBorder="1" applyAlignment="1" applyProtection="1">
      <alignment horizontal="center" vertical="center"/>
      <protection/>
    </xf>
    <xf numFmtId="0" fontId="22" fillId="0" borderId="0" xfId="0" applyFont="1" applyFill="1" applyBorder="1" applyAlignment="1" applyProtection="1">
      <alignment horizontal="left" vertical="center"/>
      <protection/>
    </xf>
    <xf numFmtId="0" fontId="26" fillId="0" borderId="0" xfId="0" applyFont="1" applyFill="1" applyAlignment="1">
      <alignment horizontal="justify" wrapText="1"/>
    </xf>
    <xf numFmtId="0" fontId="0" fillId="0" borderId="0" xfId="0" applyFill="1" applyBorder="1" applyAlignment="1" applyProtection="1">
      <alignment vertical="center" wrapText="1"/>
      <protection/>
    </xf>
    <xf numFmtId="4" fontId="24" fillId="0" borderId="51" xfId="0" applyNumberFormat="1" applyFont="1" applyFill="1" applyBorder="1" applyAlignment="1" applyProtection="1">
      <alignment horizontal="center" vertical="center"/>
      <protection/>
    </xf>
    <xf numFmtId="4" fontId="24" fillId="0" borderId="53" xfId="0" applyNumberFormat="1" applyFont="1" applyFill="1" applyBorder="1" applyAlignment="1" applyProtection="1">
      <alignment horizontal="center" vertical="center"/>
      <protection/>
    </xf>
    <xf numFmtId="4" fontId="24" fillId="0" borderId="66" xfId="0" applyNumberFormat="1" applyFont="1" applyFill="1" applyBorder="1" applyAlignment="1" applyProtection="1">
      <alignment horizontal="center" vertical="center"/>
      <protection/>
    </xf>
    <xf numFmtId="0" fontId="7" fillId="0" borderId="0" xfId="0" applyFont="1" applyAlignment="1" applyProtection="1">
      <alignment horizontal="center" vertical="center" wrapText="1"/>
      <protection/>
    </xf>
    <xf numFmtId="179" fontId="0" fillId="0" borderId="0" xfId="0" applyNumberFormat="1" applyAlignment="1" applyProtection="1">
      <alignment horizontal="right" vertical="center"/>
      <protection/>
    </xf>
    <xf numFmtId="179" fontId="0" fillId="0" borderId="0" xfId="0" applyNumberFormat="1" applyFont="1" applyAlignment="1" applyProtection="1">
      <alignment horizontal="right" vertical="center"/>
      <protection/>
    </xf>
    <xf numFmtId="0" fontId="24" fillId="0" borderId="82" xfId="0" applyFont="1" applyFill="1" applyBorder="1" applyAlignment="1" applyProtection="1">
      <alignment horizontal="center" vertical="center" wrapText="1"/>
      <protection/>
    </xf>
    <xf numFmtId="0" fontId="3" fillId="0" borderId="88" xfId="0" applyFont="1" applyFill="1" applyBorder="1" applyAlignment="1" applyProtection="1">
      <alignment horizontal="center" vertical="center" wrapText="1"/>
      <protection/>
    </xf>
    <xf numFmtId="0" fontId="0" fillId="0" borderId="50" xfId="0" applyFill="1" applyBorder="1" applyAlignment="1" applyProtection="1">
      <alignment horizontal="center" vertical="center"/>
      <protection/>
    </xf>
    <xf numFmtId="0" fontId="19" fillId="0" borderId="0" xfId="0" applyFont="1" applyFill="1" applyBorder="1" applyAlignment="1" applyProtection="1">
      <alignment horizontal="left" vertical="center"/>
      <protection/>
    </xf>
    <xf numFmtId="0" fontId="19" fillId="0" borderId="0" xfId="0" applyFont="1" applyBorder="1" applyAlignment="1" applyProtection="1">
      <alignment horizontal="left" vertical="center"/>
      <protection/>
    </xf>
    <xf numFmtId="0" fontId="27" fillId="0" borderId="0" xfId="0" applyFont="1" applyAlignment="1" applyProtection="1">
      <alignment vertical="center"/>
      <protection/>
    </xf>
    <xf numFmtId="173" fontId="27" fillId="0" borderId="0" xfId="0" applyNumberFormat="1" applyFont="1" applyAlignment="1" applyProtection="1">
      <alignment vertical="center"/>
      <protection/>
    </xf>
    <xf numFmtId="0" fontId="28" fillId="0" borderId="0" xfId="0" applyFont="1" applyFill="1" applyAlignment="1" applyProtection="1">
      <alignment vertical="center"/>
      <protection/>
    </xf>
    <xf numFmtId="0" fontId="27" fillId="0" borderId="0" xfId="0" applyFont="1" applyBorder="1" applyAlignment="1" applyProtection="1">
      <alignment vertical="center"/>
      <protection/>
    </xf>
    <xf numFmtId="0" fontId="29" fillId="0" borderId="0" xfId="0" applyFont="1" applyAlignment="1" applyProtection="1">
      <alignment horizontal="right" vertical="center"/>
      <protection/>
    </xf>
    <xf numFmtId="0" fontId="24" fillId="0" borderId="10" xfId="0" applyFont="1" applyFill="1" applyBorder="1" applyAlignment="1" applyProtection="1">
      <alignment horizontal="center" vertical="center" wrapText="1"/>
      <protection/>
    </xf>
    <xf numFmtId="0" fontId="24" fillId="0" borderId="87" xfId="0" applyFont="1" applyFill="1" applyBorder="1" applyAlignment="1" applyProtection="1">
      <alignment horizontal="center" vertical="center" wrapText="1"/>
      <protection/>
    </xf>
    <xf numFmtId="0" fontId="24" fillId="0" borderId="70" xfId="0" applyFont="1" applyFill="1" applyBorder="1" applyAlignment="1" applyProtection="1">
      <alignment horizontal="center" vertical="center" wrapText="1"/>
      <protection/>
    </xf>
    <xf numFmtId="179" fontId="0" fillId="0" borderId="0" xfId="0" applyNumberFormat="1" applyFont="1" applyAlignment="1" applyProtection="1">
      <alignment horizontal="center" vertical="top"/>
      <protection/>
    </xf>
    <xf numFmtId="179" fontId="0" fillId="0" borderId="0" xfId="0" applyNumberFormat="1" applyAlignment="1" applyProtection="1">
      <alignment horizontal="center"/>
      <protection/>
    </xf>
    <xf numFmtId="181" fontId="0" fillId="0" borderId="0" xfId="99" applyNumberFormat="1" applyFont="1" applyAlignment="1" applyProtection="1">
      <alignment horizontal="left" vertical="center"/>
      <protection/>
    </xf>
    <xf numFmtId="181" fontId="0" fillId="0" borderId="0" xfId="99" applyNumberFormat="1" applyFont="1" applyAlignment="1" applyProtection="1">
      <alignment horizontal="left" vertical="center"/>
      <protection/>
    </xf>
    <xf numFmtId="0" fontId="0" fillId="0" borderId="122" xfId="0" applyBorder="1" applyAlignment="1" applyProtection="1">
      <alignment horizontal="center" vertical="center" wrapText="1"/>
      <protection/>
    </xf>
    <xf numFmtId="0" fontId="0" fillId="0" borderId="123" xfId="0" applyBorder="1" applyAlignment="1" applyProtection="1">
      <alignment horizontal="center" vertical="center"/>
      <protection/>
    </xf>
    <xf numFmtId="0" fontId="3" fillId="0" borderId="72" xfId="0" applyFont="1" applyBorder="1" applyAlignment="1" applyProtection="1">
      <alignment vertical="center"/>
      <protection/>
    </xf>
    <xf numFmtId="0" fontId="0" fillId="0" borderId="31" xfId="0" applyBorder="1" applyAlignment="1" applyProtection="1">
      <alignment vertical="center" wrapText="1"/>
      <protection/>
    </xf>
    <xf numFmtId="0" fontId="3" fillId="0" borderId="0" xfId="0" applyFont="1" applyBorder="1" applyAlignment="1" applyProtection="1">
      <alignment horizontal="center" vertical="center"/>
      <protection/>
    </xf>
    <xf numFmtId="0" fontId="26" fillId="0" borderId="0" xfId="0" applyFont="1" applyAlignment="1">
      <alignment horizontal="justify" wrapText="1"/>
    </xf>
    <xf numFmtId="3" fontId="0" fillId="0" borderId="83" xfId="0" applyNumberFormat="1" applyBorder="1" applyAlignment="1" applyProtection="1">
      <alignment horizontal="center" vertical="center"/>
      <protection/>
    </xf>
    <xf numFmtId="0" fontId="24" fillId="0" borderId="0" xfId="0" applyFont="1" applyFill="1" applyBorder="1" applyAlignment="1" applyProtection="1">
      <alignment horizontal="center" vertical="center" wrapText="1"/>
      <protection/>
    </xf>
    <xf numFmtId="0" fontId="24" fillId="0" borderId="83" xfId="0" applyFont="1" applyFill="1" applyBorder="1" applyAlignment="1" applyProtection="1">
      <alignment horizontal="center" vertical="center" wrapText="1"/>
      <protection/>
    </xf>
    <xf numFmtId="10" fontId="24" fillId="0" borderId="83" xfId="0" applyNumberFormat="1" applyFont="1" applyFill="1" applyBorder="1" applyAlignment="1" applyProtection="1">
      <alignment horizontal="center" vertical="center" wrapText="1"/>
      <protection/>
    </xf>
    <xf numFmtId="10" fontId="24" fillId="0" borderId="0" xfId="0" applyNumberFormat="1" applyFont="1" applyFill="1" applyBorder="1" applyAlignment="1" applyProtection="1">
      <alignment horizontal="center" vertical="center" wrapText="1"/>
      <protection/>
    </xf>
    <xf numFmtId="4" fontId="24" fillId="0" borderId="76" xfId="0" applyNumberFormat="1" applyFont="1" applyBorder="1" applyAlignment="1" applyProtection="1">
      <alignment horizontal="center" vertical="center" wrapText="1"/>
      <protection/>
    </xf>
    <xf numFmtId="180" fontId="24" fillId="0" borderId="82" xfId="0" applyNumberFormat="1" applyFont="1" applyBorder="1" applyAlignment="1" applyProtection="1">
      <alignment horizontal="center" vertical="center" wrapText="1"/>
      <protection/>
    </xf>
    <xf numFmtId="180" fontId="24" fillId="0" borderId="105" xfId="0" applyNumberFormat="1" applyFont="1" applyBorder="1" applyAlignment="1" applyProtection="1">
      <alignment horizontal="center" vertical="center"/>
      <protection/>
    </xf>
    <xf numFmtId="180" fontId="24" fillId="0" borderId="87" xfId="0" applyNumberFormat="1" applyFont="1" applyBorder="1" applyAlignment="1" applyProtection="1">
      <alignment horizontal="center" vertical="center"/>
      <protection/>
    </xf>
    <xf numFmtId="3" fontId="0" fillId="0" borderId="0" xfId="0" applyNumberFormat="1" applyBorder="1" applyAlignment="1" applyProtection="1">
      <alignment horizontal="center" vertical="center"/>
      <protection/>
    </xf>
    <xf numFmtId="180" fontId="0" fillId="0" borderId="0" xfId="0" applyNumberFormat="1" applyBorder="1" applyAlignment="1" applyProtection="1">
      <alignment vertical="center"/>
      <protection/>
    </xf>
    <xf numFmtId="192" fontId="0" fillId="0" borderId="0" xfId="0" applyNumberFormat="1" applyBorder="1" applyAlignment="1" applyProtection="1">
      <alignment vertical="center"/>
      <protection/>
    </xf>
    <xf numFmtId="10" fontId="0" fillId="0" borderId="0" xfId="143" applyNumberFormat="1" applyFont="1" applyAlignment="1" applyProtection="1">
      <alignment vertical="center"/>
      <protection/>
    </xf>
    <xf numFmtId="189" fontId="0" fillId="0" borderId="0" xfId="96" applyNumberFormat="1" applyFont="1" applyAlignment="1" applyProtection="1">
      <alignment vertical="center"/>
      <protection/>
    </xf>
    <xf numFmtId="170" fontId="0" fillId="0" borderId="0" xfId="0" applyNumberFormat="1" applyFont="1" applyAlignment="1" applyProtection="1">
      <alignment vertical="center"/>
      <protection/>
    </xf>
    <xf numFmtId="8" fontId="0" fillId="0" borderId="89" xfId="143" applyNumberFormat="1" applyFont="1" applyBorder="1" applyAlignment="1" applyProtection="1">
      <alignment vertical="center"/>
      <protection/>
    </xf>
    <xf numFmtId="4" fontId="6" fillId="4" borderId="83" xfId="0" applyNumberFormat="1" applyFont="1" applyFill="1" applyBorder="1" applyAlignment="1" applyProtection="1">
      <alignment horizontal="center" vertical="center"/>
      <protection/>
    </xf>
    <xf numFmtId="2" fontId="24" fillId="0" borderId="52" xfId="0" applyNumberFormat="1" applyFont="1" applyBorder="1" applyAlignment="1" applyProtection="1">
      <alignment horizontal="center" vertical="center"/>
      <protection/>
    </xf>
    <xf numFmtId="2" fontId="24" fillId="0" borderId="83" xfId="0" applyNumberFormat="1" applyFont="1" applyBorder="1" applyAlignment="1" applyProtection="1">
      <alignment horizontal="center" vertical="center"/>
      <protection/>
    </xf>
    <xf numFmtId="4" fontId="6" fillId="4" borderId="108" xfId="0" applyNumberFormat="1" applyFont="1" applyFill="1" applyBorder="1" applyAlignment="1" applyProtection="1">
      <alignment horizontal="center" vertical="center"/>
      <protection/>
    </xf>
    <xf numFmtId="4" fontId="6" fillId="4" borderId="27" xfId="0" applyNumberFormat="1" applyFont="1" applyFill="1" applyBorder="1" applyAlignment="1" applyProtection="1">
      <alignment horizontal="center" vertical="center"/>
      <protection/>
    </xf>
    <xf numFmtId="171" fontId="0" fillId="0" borderId="0" xfId="96" applyFont="1" applyAlignment="1" applyProtection="1">
      <alignment vertical="center"/>
      <protection/>
    </xf>
    <xf numFmtId="173" fontId="6" fillId="0" borderId="0" xfId="96" applyNumberFormat="1" applyFont="1" applyAlignment="1">
      <alignment wrapText="1"/>
    </xf>
    <xf numFmtId="0" fontId="0" fillId="0" borderId="0" xfId="0" applyAlignment="1">
      <alignment horizontal="center"/>
    </xf>
    <xf numFmtId="171" fontId="0" fillId="0" borderId="0" xfId="96" applyFont="1" applyAlignment="1">
      <alignment/>
    </xf>
    <xf numFmtId="171" fontId="0" fillId="0" borderId="0" xfId="96" applyFont="1" applyBorder="1" applyAlignment="1" applyProtection="1">
      <alignment vertical="center"/>
      <protection/>
    </xf>
    <xf numFmtId="171" fontId="1" fillId="0" borderId="0" xfId="96" applyFont="1" applyAlignment="1" applyProtection="1">
      <alignment vertical="center"/>
      <protection/>
    </xf>
    <xf numFmtId="0" fontId="24" fillId="0" borderId="11" xfId="0" applyFont="1" applyBorder="1" applyAlignment="1" applyProtection="1">
      <alignment horizontal="center" vertical="center" wrapText="1"/>
      <protection/>
    </xf>
    <xf numFmtId="0" fontId="6" fillId="4" borderId="14" xfId="0" applyFont="1" applyFill="1" applyBorder="1" applyAlignment="1" applyProtection="1">
      <alignment horizontal="center" vertical="center" wrapText="1"/>
      <protection/>
    </xf>
    <xf numFmtId="0" fontId="1" fillId="0" borderId="86" xfId="0" applyFont="1" applyBorder="1" applyAlignment="1" applyProtection="1">
      <alignment vertical="center"/>
      <protection/>
    </xf>
    <xf numFmtId="3" fontId="1" fillId="0" borderId="84" xfId="0" applyNumberFormat="1" applyFont="1" applyBorder="1" applyAlignment="1" applyProtection="1">
      <alignment horizontal="center" vertical="center"/>
      <protection/>
    </xf>
    <xf numFmtId="3" fontId="1" fillId="0" borderId="96" xfId="0" applyNumberFormat="1" applyFont="1" applyBorder="1" applyAlignment="1" applyProtection="1">
      <alignment horizontal="center" vertical="center"/>
      <protection/>
    </xf>
    <xf numFmtId="3" fontId="1" fillId="0" borderId="87" xfId="0" applyNumberFormat="1" applyFont="1" applyBorder="1" applyAlignment="1" applyProtection="1">
      <alignment horizontal="center" vertical="center"/>
      <protection/>
    </xf>
    <xf numFmtId="0" fontId="1" fillId="0" borderId="0" xfId="0" applyFont="1" applyAlignment="1" applyProtection="1">
      <alignment horizontal="center" vertical="center"/>
      <protection/>
    </xf>
    <xf numFmtId="166" fontId="1" fillId="0" borderId="69" xfId="0" applyNumberFormat="1" applyFont="1" applyBorder="1" applyAlignment="1" applyProtection="1">
      <alignment horizontal="center" vertical="center"/>
      <protection/>
    </xf>
    <xf numFmtId="166" fontId="1" fillId="0" borderId="87" xfId="0" applyNumberFormat="1" applyFont="1" applyBorder="1" applyAlignment="1" applyProtection="1">
      <alignment horizontal="center" vertical="center"/>
      <protection/>
    </xf>
    <xf numFmtId="173" fontId="1" fillId="25" borderId="74" xfId="0" applyNumberFormat="1" applyFont="1" applyFill="1" applyBorder="1" applyAlignment="1" applyProtection="1">
      <alignment vertical="center"/>
      <protection/>
    </xf>
    <xf numFmtId="0" fontId="48" fillId="0" borderId="0" xfId="0" applyFont="1" applyFill="1" applyBorder="1" applyAlignment="1" applyProtection="1">
      <alignment vertical="center"/>
      <protection/>
    </xf>
    <xf numFmtId="4" fontId="24" fillId="0" borderId="51" xfId="0" applyNumberFormat="1" applyFont="1" applyFill="1" applyBorder="1" applyAlignment="1" applyProtection="1">
      <alignment horizontal="left" vertical="center"/>
      <protection/>
    </xf>
    <xf numFmtId="4" fontId="24" fillId="0" borderId="53" xfId="0" applyNumberFormat="1" applyFont="1" applyFill="1" applyBorder="1" applyAlignment="1" applyProtection="1">
      <alignment horizontal="left" vertical="center"/>
      <protection/>
    </xf>
    <xf numFmtId="4" fontId="24" fillId="0" borderId="66" xfId="0" applyNumberFormat="1" applyFont="1" applyFill="1" applyBorder="1" applyAlignment="1" applyProtection="1">
      <alignment horizontal="left" vertical="center"/>
      <protection/>
    </xf>
    <xf numFmtId="0" fontId="24" fillId="0" borderId="0" xfId="0" applyFont="1" applyFill="1" applyBorder="1" applyAlignment="1" applyProtection="1">
      <alignment horizontal="left" vertical="center"/>
      <protection/>
    </xf>
    <xf numFmtId="171" fontId="1" fillId="0" borderId="0" xfId="96" applyFont="1" applyFill="1" applyAlignment="1" applyProtection="1">
      <alignment vertical="center"/>
      <protection/>
    </xf>
    <xf numFmtId="4" fontId="24" fillId="0" borderId="0" xfId="0" applyNumberFormat="1" applyFont="1" applyFill="1" applyBorder="1" applyAlignment="1" applyProtection="1">
      <alignment horizontal="right" vertical="center" wrapText="1"/>
      <protection/>
    </xf>
    <xf numFmtId="0" fontId="59" fillId="0" borderId="52" xfId="0" applyFont="1" applyFill="1" applyBorder="1" applyAlignment="1" applyProtection="1">
      <alignment vertical="center"/>
      <protection/>
    </xf>
    <xf numFmtId="0" fontId="60" fillId="0" borderId="69" xfId="0" applyFont="1" applyFill="1" applyBorder="1" applyAlignment="1" applyProtection="1">
      <alignment vertical="center"/>
      <protection/>
    </xf>
    <xf numFmtId="0" fontId="60" fillId="0" borderId="52" xfId="0" applyFont="1" applyFill="1" applyBorder="1" applyAlignment="1" applyProtection="1">
      <alignment horizontal="right" vertical="center"/>
      <protection/>
    </xf>
    <xf numFmtId="0" fontId="60" fillId="0" borderId="69" xfId="0" applyFont="1" applyFill="1" applyBorder="1" applyAlignment="1" applyProtection="1">
      <alignment horizontal="right" vertical="center"/>
      <protection/>
    </xf>
    <xf numFmtId="0" fontId="52" fillId="0" borderId="0" xfId="0" applyFont="1" applyFill="1" applyBorder="1" applyAlignment="1" applyProtection="1">
      <alignment vertical="center"/>
      <protection/>
    </xf>
    <xf numFmtId="0" fontId="53" fillId="0" borderId="0" xfId="0" applyFont="1" applyBorder="1" applyAlignment="1" applyProtection="1">
      <alignment vertical="center"/>
      <protection/>
    </xf>
    <xf numFmtId="0" fontId="52" fillId="0" borderId="0" xfId="0" applyFont="1" applyFill="1" applyBorder="1" applyAlignment="1" applyProtection="1">
      <alignment horizontal="center" vertical="center" wrapText="1"/>
      <protection/>
    </xf>
    <xf numFmtId="0" fontId="52" fillId="0" borderId="0" xfId="0" applyFont="1" applyFill="1" applyBorder="1" applyAlignment="1" applyProtection="1">
      <alignment horizontal="center" vertical="center"/>
      <protection/>
    </xf>
    <xf numFmtId="0" fontId="52" fillId="0" borderId="0" xfId="0" applyFont="1" applyFill="1" applyBorder="1" applyAlignment="1" applyProtection="1">
      <alignment horizontal="left" vertical="center"/>
      <protection/>
    </xf>
    <xf numFmtId="0" fontId="52" fillId="0" borderId="12" xfId="0" applyFont="1" applyFill="1" applyBorder="1" applyAlignment="1" applyProtection="1">
      <alignment vertical="center"/>
      <protection/>
    </xf>
    <xf numFmtId="183" fontId="52" fillId="0" borderId="12" xfId="101" applyNumberFormat="1" applyFont="1" applyFill="1" applyBorder="1" applyAlignment="1" applyProtection="1">
      <alignment horizontal="center" vertical="center"/>
      <protection/>
    </xf>
    <xf numFmtId="0" fontId="54" fillId="0" borderId="12" xfId="0" applyFont="1" applyFill="1" applyBorder="1" applyAlignment="1" applyProtection="1">
      <alignment horizontal="center" vertical="center" wrapText="1"/>
      <protection/>
    </xf>
    <xf numFmtId="0" fontId="55" fillId="0" borderId="96" xfId="0" applyFont="1" applyFill="1" applyBorder="1" applyAlignment="1" applyProtection="1">
      <alignment vertical="center"/>
      <protection/>
    </xf>
    <xf numFmtId="0" fontId="56" fillId="0" borderId="96" xfId="0" applyFont="1" applyFill="1" applyBorder="1" applyAlignment="1" applyProtection="1">
      <alignment vertical="center"/>
      <protection/>
    </xf>
    <xf numFmtId="171" fontId="0" fillId="0" borderId="0" xfId="96" applyFont="1" applyAlignment="1" applyProtection="1">
      <alignment horizontal="left" vertical="center"/>
      <protection/>
    </xf>
    <xf numFmtId="0" fontId="0" fillId="0" borderId="76" xfId="0" applyBorder="1" applyAlignment="1" applyProtection="1">
      <alignment vertical="center"/>
      <protection/>
    </xf>
    <xf numFmtId="179" fontId="0" fillId="0" borderId="82" xfId="0" applyNumberFormat="1" applyBorder="1" applyAlignment="1" applyProtection="1">
      <alignment vertical="center"/>
      <protection/>
    </xf>
    <xf numFmtId="0" fontId="0" fillId="0" borderId="105" xfId="0" applyBorder="1" applyAlignment="1" applyProtection="1">
      <alignment vertical="center"/>
      <protection/>
    </xf>
    <xf numFmtId="179" fontId="0" fillId="0" borderId="87" xfId="0" applyNumberFormat="1" applyBorder="1" applyAlignment="1" applyProtection="1">
      <alignment vertical="center"/>
      <protection/>
    </xf>
    <xf numFmtId="0" fontId="24" fillId="0" borderId="0" xfId="0" applyFont="1" applyFill="1" applyBorder="1" applyAlignment="1" applyProtection="1">
      <alignment vertical="center"/>
      <protection/>
    </xf>
    <xf numFmtId="173" fontId="0" fillId="0" borderId="11" xfId="96" applyNumberFormat="1" applyFont="1" applyFill="1" applyBorder="1" applyAlignment="1" applyProtection="1">
      <alignment horizontal="center" vertical="center"/>
      <protection/>
    </xf>
    <xf numFmtId="0" fontId="1" fillId="0" borderId="31" xfId="0" applyFont="1" applyFill="1" applyBorder="1" applyAlignment="1" applyProtection="1">
      <alignment horizontal="center" vertical="center"/>
      <protection/>
    </xf>
    <xf numFmtId="0" fontId="1" fillId="0" borderId="37" xfId="0" applyFont="1" applyFill="1" applyBorder="1" applyAlignment="1" applyProtection="1">
      <alignment horizontal="center" vertical="center"/>
      <protection/>
    </xf>
    <xf numFmtId="0" fontId="1" fillId="0" borderId="47" xfId="0" applyFont="1" applyFill="1" applyBorder="1" applyAlignment="1" applyProtection="1">
      <alignment horizontal="center" vertical="center"/>
      <protection/>
    </xf>
    <xf numFmtId="0" fontId="1" fillId="0" borderId="11" xfId="0" applyFont="1" applyFill="1" applyBorder="1" applyAlignment="1" applyProtection="1">
      <alignment horizontal="center" vertical="center"/>
      <protection/>
    </xf>
    <xf numFmtId="9" fontId="1" fillId="0" borderId="0" xfId="0" applyNumberFormat="1" applyFont="1" applyFill="1" applyBorder="1" applyAlignment="1" applyProtection="1">
      <alignment horizontal="center" vertical="center"/>
      <protection/>
    </xf>
    <xf numFmtId="3" fontId="0" fillId="0" borderId="83" xfId="0" applyNumberFormat="1" applyFont="1" applyBorder="1" applyAlignment="1" applyProtection="1">
      <alignment horizontal="center" vertical="center"/>
      <protection/>
    </xf>
    <xf numFmtId="170" fontId="0" fillId="0" borderId="31" xfId="0" applyNumberFormat="1" applyFont="1" applyFill="1" applyBorder="1" applyAlignment="1" applyProtection="1">
      <alignment horizontal="center" vertical="center"/>
      <protection/>
    </xf>
    <xf numFmtId="170" fontId="0" fillId="0" borderId="83" xfId="0" applyNumberFormat="1" applyFont="1" applyFill="1" applyBorder="1" applyAlignment="1" applyProtection="1">
      <alignment horizontal="center" vertical="center"/>
      <protection/>
    </xf>
    <xf numFmtId="170" fontId="0" fillId="0" borderId="32" xfId="0" applyNumberFormat="1" applyFont="1" applyFill="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83" xfId="0" applyFont="1" applyBorder="1" applyAlignment="1" applyProtection="1">
      <alignment horizontal="center" vertical="center"/>
      <protection/>
    </xf>
    <xf numFmtId="0" fontId="0" fillId="0" borderId="87" xfId="0" applyFont="1" applyBorder="1" applyAlignment="1" applyProtection="1">
      <alignment horizontal="center" vertical="center"/>
      <protection/>
    </xf>
    <xf numFmtId="3" fontId="0" fillId="0" borderId="83" xfId="0" applyNumberFormat="1" applyFont="1" applyFill="1" applyBorder="1" applyAlignment="1" applyProtection="1">
      <alignment horizontal="center" vertical="center"/>
      <protection/>
    </xf>
    <xf numFmtId="171" fontId="0" fillId="0" borderId="0" xfId="96" applyFont="1" applyAlignment="1" applyProtection="1">
      <alignment vertical="center"/>
      <protection/>
    </xf>
    <xf numFmtId="0" fontId="0" fillId="0" borderId="32" xfId="0" applyFont="1" applyBorder="1" applyAlignment="1" applyProtection="1">
      <alignment vertical="center"/>
      <protection/>
    </xf>
    <xf numFmtId="174" fontId="0" fillId="35" borderId="83" xfId="0" applyNumberFormat="1" applyFont="1" applyFill="1" applyBorder="1" applyAlignment="1" applyProtection="1">
      <alignment horizontal="center" vertical="center"/>
      <protection/>
    </xf>
    <xf numFmtId="0" fontId="0" fillId="0" borderId="0" xfId="0" applyFont="1" applyAlignment="1">
      <alignment horizontal="center"/>
    </xf>
    <xf numFmtId="0" fontId="0" fillId="0" borderId="0" xfId="0" applyFont="1" applyAlignment="1">
      <alignment/>
    </xf>
    <xf numFmtId="0" fontId="3" fillId="4" borderId="12" xfId="0" applyFont="1" applyFill="1" applyBorder="1" applyAlignment="1">
      <alignment horizontal="center" vertical="center" wrapText="1"/>
    </xf>
    <xf numFmtId="4" fontId="24" fillId="0" borderId="12" xfId="0" applyNumberFormat="1" applyFont="1" applyBorder="1" applyAlignment="1">
      <alignment vertical="center"/>
    </xf>
    <xf numFmtId="171" fontId="3" fillId="4" borderId="12" xfId="96" applyFont="1" applyFill="1" applyBorder="1" applyAlignment="1">
      <alignment horizontal="right" vertical="center" wrapText="1"/>
    </xf>
    <xf numFmtId="171" fontId="24" fillId="0" borderId="12" xfId="96" applyFont="1" applyFill="1" applyBorder="1" applyAlignment="1" applyProtection="1">
      <alignment horizontal="right" vertical="center" wrapText="1"/>
      <protection/>
    </xf>
    <xf numFmtId="0" fontId="3" fillId="0" borderId="12" xfId="0" applyFont="1" applyBorder="1" applyAlignment="1">
      <alignment horizontal="center"/>
    </xf>
    <xf numFmtId="0" fontId="24" fillId="0" borderId="0" xfId="0" applyFont="1" applyFill="1" applyBorder="1" applyAlignment="1" applyProtection="1" quotePrefix="1">
      <alignment vertical="center"/>
      <protection/>
    </xf>
    <xf numFmtId="0" fontId="24" fillId="0" borderId="37" xfId="0" applyFont="1" applyFill="1" applyBorder="1" applyAlignment="1" applyProtection="1">
      <alignment horizontal="left" vertical="center"/>
      <protection/>
    </xf>
    <xf numFmtId="2" fontId="24" fillId="0" borderId="75" xfId="0" applyNumberFormat="1" applyFont="1" applyFill="1" applyBorder="1" applyAlignment="1" applyProtection="1">
      <alignment horizontal="center" vertical="center"/>
      <protection/>
    </xf>
    <xf numFmtId="2" fontId="24" fillId="0" borderId="84" xfId="0" applyNumberFormat="1" applyFont="1" applyFill="1" applyBorder="1" applyAlignment="1" applyProtection="1">
      <alignment horizontal="center" vertical="center"/>
      <protection/>
    </xf>
    <xf numFmtId="174" fontId="1" fillId="35" borderId="87" xfId="0" applyNumberFormat="1" applyFont="1" applyFill="1" applyBorder="1" applyAlignment="1" applyProtection="1">
      <alignment horizontal="center" vertical="center"/>
      <protection/>
    </xf>
    <xf numFmtId="9" fontId="3" fillId="26" borderId="73" xfId="0" applyNumberFormat="1" applyFont="1" applyFill="1" applyBorder="1" applyAlignment="1" applyProtection="1">
      <alignment horizontal="center" vertical="center"/>
      <protection/>
    </xf>
    <xf numFmtId="175" fontId="1" fillId="26" borderId="12" xfId="96" applyNumberFormat="1" applyFont="1" applyFill="1" applyBorder="1" applyAlignment="1" applyProtection="1">
      <alignment horizontal="center" vertical="center"/>
      <protection/>
    </xf>
    <xf numFmtId="174" fontId="0" fillId="26" borderId="19" xfId="96" applyNumberFormat="1" applyFont="1" applyFill="1" applyBorder="1" applyAlignment="1" applyProtection="1">
      <alignment horizontal="center" vertical="center"/>
      <protection/>
    </xf>
    <xf numFmtId="174" fontId="0" fillId="26" borderId="33" xfId="96" applyNumberFormat="1" applyFont="1" applyFill="1" applyBorder="1" applyAlignment="1" applyProtection="1">
      <alignment horizontal="center" vertical="center"/>
      <protection/>
    </xf>
    <xf numFmtId="174" fontId="1" fillId="26" borderId="25" xfId="96" applyNumberFormat="1" applyFont="1" applyFill="1" applyBorder="1" applyAlignment="1" applyProtection="1">
      <alignment horizontal="center" vertical="center"/>
      <protection/>
    </xf>
    <xf numFmtId="174" fontId="1" fillId="26" borderId="73" xfId="96" applyNumberFormat="1" applyFont="1" applyFill="1" applyBorder="1" applyAlignment="1" applyProtection="1">
      <alignment horizontal="center" vertical="center"/>
      <protection/>
    </xf>
    <xf numFmtId="174" fontId="1" fillId="26" borderId="39" xfId="96" applyNumberFormat="1" applyFont="1" applyFill="1" applyBorder="1" applyAlignment="1" applyProtection="1">
      <alignment horizontal="center" vertical="center"/>
      <protection/>
    </xf>
    <xf numFmtId="174" fontId="3" fillId="34" borderId="104" xfId="0" applyNumberFormat="1" applyFont="1" applyFill="1" applyBorder="1" applyAlignment="1" applyProtection="1">
      <alignment horizontal="center" vertical="center"/>
      <protection/>
    </xf>
    <xf numFmtId="10" fontId="1" fillId="34" borderId="47" xfId="143" applyNumberFormat="1" applyFont="1" applyFill="1" applyBorder="1" applyAlignment="1" applyProtection="1">
      <alignment horizontal="center" vertical="center"/>
      <protection/>
    </xf>
    <xf numFmtId="174" fontId="0" fillId="34" borderId="16" xfId="143" applyNumberFormat="1" applyFont="1" applyFill="1" applyBorder="1" applyAlignment="1" applyProtection="1">
      <alignment horizontal="center" vertical="center"/>
      <protection/>
    </xf>
    <xf numFmtId="174" fontId="0" fillId="34" borderId="32" xfId="143" applyNumberFormat="1" applyFont="1" applyFill="1" applyBorder="1" applyAlignment="1" applyProtection="1">
      <alignment horizontal="center" vertical="center"/>
      <protection/>
    </xf>
    <xf numFmtId="174" fontId="1" fillId="34" borderId="24" xfId="143" applyNumberFormat="1" applyFont="1" applyFill="1" applyBorder="1" applyAlignment="1" applyProtection="1">
      <alignment horizontal="center" vertical="center"/>
      <protection/>
    </xf>
    <xf numFmtId="174" fontId="1" fillId="34" borderId="32" xfId="143" applyNumberFormat="1" applyFont="1" applyFill="1" applyBorder="1" applyAlignment="1" applyProtection="1">
      <alignment horizontal="center" vertical="center"/>
      <protection/>
    </xf>
    <xf numFmtId="174" fontId="1" fillId="34" borderId="38" xfId="143" applyNumberFormat="1" applyFont="1" applyFill="1" applyBorder="1" applyAlignment="1" applyProtection="1">
      <alignment horizontal="center" vertical="center"/>
      <protection/>
    </xf>
    <xf numFmtId="174" fontId="1" fillId="34" borderId="11" xfId="143" applyNumberFormat="1" applyFont="1" applyFill="1" applyBorder="1" applyAlignment="1" applyProtection="1">
      <alignment horizontal="center" vertical="center"/>
      <protection/>
    </xf>
    <xf numFmtId="174" fontId="3" fillId="27" borderId="104" xfId="0" applyNumberFormat="1" applyFont="1" applyFill="1" applyBorder="1" applyAlignment="1" applyProtection="1">
      <alignment horizontal="center" vertical="center"/>
      <protection/>
    </xf>
    <xf numFmtId="10" fontId="1" fillId="27" borderId="47" xfId="143" applyNumberFormat="1" applyFont="1" applyFill="1" applyBorder="1" applyAlignment="1" applyProtection="1">
      <alignment horizontal="center" vertical="center"/>
      <protection/>
    </xf>
    <xf numFmtId="174" fontId="0" fillId="27" borderId="16" xfId="143" applyNumberFormat="1" applyFont="1" applyFill="1" applyBorder="1" applyAlignment="1" applyProtection="1">
      <alignment horizontal="center" vertical="center"/>
      <protection/>
    </xf>
    <xf numFmtId="174" fontId="0" fillId="27" borderId="32" xfId="143" applyNumberFormat="1" applyFont="1" applyFill="1" applyBorder="1" applyAlignment="1" applyProtection="1">
      <alignment horizontal="center" vertical="center"/>
      <protection/>
    </xf>
    <xf numFmtId="174" fontId="1" fillId="27" borderId="24" xfId="143" applyNumberFormat="1" applyFont="1" applyFill="1" applyBorder="1" applyAlignment="1" applyProtection="1">
      <alignment horizontal="center" vertical="center"/>
      <protection/>
    </xf>
    <xf numFmtId="174" fontId="1" fillId="27" borderId="32" xfId="143" applyNumberFormat="1" applyFont="1" applyFill="1" applyBorder="1" applyAlignment="1" applyProtection="1">
      <alignment horizontal="center" vertical="center"/>
      <protection/>
    </xf>
    <xf numFmtId="174" fontId="1" fillId="27" borderId="38" xfId="143" applyNumberFormat="1" applyFont="1" applyFill="1" applyBorder="1" applyAlignment="1" applyProtection="1">
      <alignment horizontal="center" vertical="center"/>
      <protection/>
    </xf>
    <xf numFmtId="174" fontId="1" fillId="27" borderId="11" xfId="143" applyNumberFormat="1" applyFont="1" applyFill="1" applyBorder="1" applyAlignment="1" applyProtection="1">
      <alignment horizontal="center" vertical="center"/>
      <protection/>
    </xf>
    <xf numFmtId="179" fontId="0" fillId="0" borderId="51" xfId="99" applyNumberFormat="1" applyFont="1" applyFill="1" applyBorder="1" applyAlignment="1" applyProtection="1">
      <alignment vertical="center"/>
      <protection/>
    </xf>
    <xf numFmtId="179" fontId="1" fillId="0" borderId="51" xfId="99" applyNumberFormat="1" applyFont="1" applyFill="1" applyBorder="1" applyAlignment="1" applyProtection="1">
      <alignment vertical="center"/>
      <protection/>
    </xf>
    <xf numFmtId="9" fontId="0" fillId="0" borderId="51" xfId="0" applyNumberFormat="1" applyFont="1" applyFill="1" applyBorder="1" applyAlignment="1" applyProtection="1">
      <alignment vertical="center"/>
      <protection/>
    </xf>
    <xf numFmtId="0" fontId="14" fillId="0" borderId="51" xfId="0" applyFont="1" applyFill="1" applyBorder="1" applyAlignment="1" applyProtection="1">
      <alignment vertical="center"/>
      <protection/>
    </xf>
    <xf numFmtId="0" fontId="0" fillId="0" borderId="51" xfId="0" applyFont="1" applyBorder="1" applyAlignment="1" applyProtection="1">
      <alignment vertical="center"/>
      <protection/>
    </xf>
    <xf numFmtId="179" fontId="0" fillId="0" borderId="10" xfId="99" applyNumberFormat="1" applyFont="1" applyBorder="1" applyAlignment="1" applyProtection="1">
      <alignment vertical="center"/>
      <protection/>
    </xf>
    <xf numFmtId="0" fontId="3" fillId="0" borderId="86" xfId="0" applyFont="1" applyBorder="1" applyAlignment="1" applyProtection="1">
      <alignment vertical="center"/>
      <protection/>
    </xf>
    <xf numFmtId="0" fontId="1" fillId="0" borderId="124" xfId="0" applyFont="1" applyBorder="1" applyAlignment="1" applyProtection="1">
      <alignment horizontal="center" vertical="center" wrapText="1"/>
      <protection/>
    </xf>
    <xf numFmtId="0" fontId="0" fillId="0" borderId="52" xfId="0" applyBorder="1" applyAlignment="1" applyProtection="1">
      <alignment vertical="center"/>
      <protection/>
    </xf>
    <xf numFmtId="179" fontId="0" fillId="0" borderId="51" xfId="99" applyNumberFormat="1" applyFont="1" applyBorder="1" applyAlignment="1" applyProtection="1">
      <alignment vertical="center"/>
      <protection/>
    </xf>
    <xf numFmtId="0" fontId="3" fillId="0" borderId="76" xfId="0" applyFont="1" applyBorder="1" applyAlignment="1" applyProtection="1">
      <alignment horizontal="center" vertical="center" wrapText="1"/>
      <protection/>
    </xf>
    <xf numFmtId="0" fontId="3" fillId="0" borderId="82" xfId="0" applyFont="1" applyBorder="1" applyAlignment="1" applyProtection="1">
      <alignment horizontal="center" vertical="center" wrapText="1"/>
      <protection/>
    </xf>
    <xf numFmtId="0" fontId="3" fillId="0" borderId="0" xfId="0" applyFont="1" applyBorder="1" applyAlignment="1">
      <alignment horizontal="justify" wrapText="1"/>
    </xf>
    <xf numFmtId="0" fontId="3" fillId="0" borderId="41" xfId="0" applyFont="1" applyBorder="1" applyAlignment="1" applyProtection="1">
      <alignment horizontal="center" vertical="center" wrapText="1"/>
      <protection/>
    </xf>
    <xf numFmtId="0" fontId="3" fillId="0" borderId="106" xfId="0" applyFont="1" applyBorder="1" applyAlignment="1" applyProtection="1">
      <alignment horizontal="center" vertical="center" wrapText="1"/>
      <protection/>
    </xf>
    <xf numFmtId="0" fontId="3" fillId="0" borderId="68" xfId="0" applyFont="1" applyBorder="1" applyAlignment="1" applyProtection="1">
      <alignment horizontal="center" vertical="center" wrapText="1"/>
      <protection/>
    </xf>
    <xf numFmtId="0" fontId="1" fillId="0" borderId="80" xfId="96" applyNumberFormat="1" applyFont="1" applyBorder="1" applyAlignment="1" applyProtection="1">
      <alignment horizontal="center" vertical="center"/>
      <protection/>
    </xf>
    <xf numFmtId="0" fontId="1" fillId="0" borderId="41" xfId="96" applyNumberFormat="1" applyFont="1" applyBorder="1" applyAlignment="1" applyProtection="1">
      <alignment horizontal="center" vertical="center"/>
      <protection/>
    </xf>
    <xf numFmtId="0" fontId="1" fillId="0" borderId="106" xfId="96" applyNumberFormat="1" applyFont="1" applyBorder="1" applyAlignment="1" applyProtection="1">
      <alignment horizontal="center" vertical="center"/>
      <protection/>
    </xf>
    <xf numFmtId="0" fontId="0" fillId="0" borderId="0" xfId="0" applyFill="1" applyBorder="1" applyAlignment="1" applyProtection="1">
      <alignment horizontal="left" vertical="top" wrapText="1"/>
      <protection/>
    </xf>
    <xf numFmtId="0" fontId="0" fillId="0" borderId="125" xfId="0" applyBorder="1" applyAlignment="1" applyProtection="1">
      <alignment horizontal="center" vertical="center"/>
      <protection/>
    </xf>
    <xf numFmtId="0" fontId="0" fillId="0" borderId="29" xfId="0" applyBorder="1" applyAlignment="1" applyProtection="1">
      <alignment horizontal="center" vertical="center"/>
      <protection/>
    </xf>
    <xf numFmtId="0" fontId="0" fillId="0" borderId="110" xfId="0" applyBorder="1" applyAlignment="1" applyProtection="1">
      <alignment horizontal="center" vertical="center"/>
      <protection/>
    </xf>
    <xf numFmtId="0" fontId="25" fillId="0" borderId="96" xfId="0" applyFont="1" applyBorder="1" applyAlignment="1">
      <alignment horizontal="justify" wrapText="1"/>
    </xf>
    <xf numFmtId="0" fontId="25" fillId="0" borderId="0" xfId="0" applyFont="1" applyAlignment="1">
      <alignment horizontal="left" wrapText="1"/>
    </xf>
    <xf numFmtId="208" fontId="3" fillId="0" borderId="86" xfId="0" applyNumberFormat="1" applyFont="1" applyBorder="1" applyAlignment="1" applyProtection="1">
      <alignment horizontal="center" vertical="center"/>
      <protection/>
    </xf>
    <xf numFmtId="208" fontId="3" fillId="0" borderId="36" xfId="0" applyNumberFormat="1" applyFont="1" applyBorder="1" applyAlignment="1" applyProtection="1">
      <alignment horizontal="center" vertical="center"/>
      <protection/>
    </xf>
    <xf numFmtId="208" fontId="3" fillId="0" borderId="87" xfId="0" applyNumberFormat="1" applyFont="1" applyBorder="1" applyAlignment="1" applyProtection="1">
      <alignment horizontal="center" vertical="center"/>
      <protection/>
    </xf>
    <xf numFmtId="0" fontId="3" fillId="0" borderId="86" xfId="0" applyFont="1" applyBorder="1" applyAlignment="1" applyProtection="1">
      <alignment horizontal="center" vertical="center"/>
      <protection/>
    </xf>
    <xf numFmtId="0" fontId="3" fillId="0" borderId="36" xfId="0" applyFont="1" applyBorder="1" applyAlignment="1" applyProtection="1">
      <alignment horizontal="center" vertical="center"/>
      <protection/>
    </xf>
    <xf numFmtId="0" fontId="3" fillId="0" borderId="102" xfId="0" applyFont="1" applyBorder="1" applyAlignment="1" applyProtection="1">
      <alignment horizontal="center" vertical="center"/>
      <protection/>
    </xf>
    <xf numFmtId="170" fontId="3" fillId="0" borderId="36" xfId="99" applyFont="1" applyBorder="1" applyAlignment="1" applyProtection="1">
      <alignment horizontal="center" vertical="center"/>
      <protection/>
    </xf>
    <xf numFmtId="170" fontId="3" fillId="0" borderId="102" xfId="99" applyFont="1" applyBorder="1" applyAlignment="1" applyProtection="1">
      <alignment horizontal="center" vertical="center"/>
      <protection/>
    </xf>
    <xf numFmtId="0" fontId="10" fillId="0" borderId="78" xfId="0" applyFont="1" applyFill="1" applyBorder="1" applyAlignment="1" applyProtection="1">
      <alignment horizontal="center" vertical="center" wrapText="1"/>
      <protection/>
    </xf>
    <xf numFmtId="0" fontId="10" fillId="0" borderId="51" xfId="0" applyFont="1" applyFill="1" applyBorder="1" applyAlignment="1" applyProtection="1">
      <alignment horizontal="center" vertical="center" wrapText="1"/>
      <protection/>
    </xf>
    <xf numFmtId="0" fontId="1" fillId="30" borderId="79" xfId="0" applyFont="1" applyFill="1" applyBorder="1" applyAlignment="1" applyProtection="1">
      <alignment horizontal="center" vertical="center" wrapText="1"/>
      <protection/>
    </xf>
    <xf numFmtId="0" fontId="1" fillId="30" borderId="93" xfId="0" applyFont="1" applyFill="1" applyBorder="1" applyAlignment="1" applyProtection="1">
      <alignment horizontal="center" vertical="center" wrapText="1"/>
      <protection/>
    </xf>
    <xf numFmtId="0" fontId="1" fillId="28" borderId="78" xfId="0" applyFont="1" applyFill="1" applyBorder="1" applyAlignment="1" applyProtection="1">
      <alignment horizontal="center" vertical="center" wrapText="1"/>
      <protection/>
    </xf>
    <xf numFmtId="0" fontId="1" fillId="28" borderId="51" xfId="0" applyFont="1" applyFill="1" applyBorder="1" applyAlignment="1" applyProtection="1">
      <alignment horizontal="center" vertical="center" wrapText="1"/>
      <protection/>
    </xf>
    <xf numFmtId="0" fontId="3" fillId="34" borderId="86" xfId="0" applyFont="1" applyFill="1" applyBorder="1" applyAlignment="1" applyProtection="1">
      <alignment horizontal="center" vertical="center"/>
      <protection/>
    </xf>
    <xf numFmtId="0" fontId="3" fillId="34" borderId="36" xfId="0" applyFont="1" applyFill="1" applyBorder="1" applyAlignment="1" applyProtection="1">
      <alignment horizontal="center" vertical="center"/>
      <protection/>
    </xf>
    <xf numFmtId="0" fontId="3" fillId="34" borderId="102" xfId="0" applyFont="1" applyFill="1" applyBorder="1" applyAlignment="1" applyProtection="1">
      <alignment horizontal="center" vertical="center"/>
      <protection/>
    </xf>
    <xf numFmtId="173" fontId="0" fillId="27" borderId="88" xfId="96" applyNumberFormat="1" applyFont="1" applyFill="1" applyBorder="1" applyAlignment="1" applyProtection="1">
      <alignment horizontal="center" vertical="center" wrapText="1"/>
      <protection/>
    </xf>
    <xf numFmtId="173" fontId="0" fillId="27" borderId="35" xfId="96" applyNumberFormat="1" applyFont="1" applyFill="1" applyBorder="1" applyAlignment="1" applyProtection="1">
      <alignment horizontal="center" vertical="center" wrapText="1"/>
      <protection/>
    </xf>
    <xf numFmtId="0" fontId="0" fillId="34" borderId="88" xfId="0" applyFill="1" applyBorder="1" applyAlignment="1" applyProtection="1">
      <alignment horizontal="center" vertical="center" wrapText="1"/>
      <protection/>
    </xf>
    <xf numFmtId="0" fontId="0" fillId="34" borderId="35" xfId="0" applyFill="1" applyBorder="1" applyAlignment="1" applyProtection="1">
      <alignment horizontal="center" vertical="center" wrapText="1"/>
      <protection/>
    </xf>
    <xf numFmtId="176" fontId="10" fillId="27" borderId="78" xfId="0" applyNumberFormat="1" applyFont="1" applyFill="1" applyBorder="1" applyAlignment="1" applyProtection="1">
      <alignment horizontal="center" vertical="center" wrapText="1"/>
      <protection/>
    </xf>
    <xf numFmtId="176" fontId="10" fillId="27" borderId="51" xfId="0" applyNumberFormat="1" applyFont="1" applyFill="1" applyBorder="1" applyAlignment="1" applyProtection="1">
      <alignment horizontal="center" vertical="center" wrapText="1"/>
      <protection/>
    </xf>
    <xf numFmtId="176" fontId="10" fillId="34" borderId="78" xfId="0" applyNumberFormat="1" applyFont="1" applyFill="1" applyBorder="1" applyAlignment="1" applyProtection="1">
      <alignment horizontal="center" vertical="center" wrapText="1"/>
      <protection/>
    </xf>
    <xf numFmtId="176" fontId="10" fillId="34" borderId="51" xfId="0" applyNumberFormat="1" applyFont="1" applyFill="1" applyBorder="1" applyAlignment="1" applyProtection="1">
      <alignment horizontal="center" vertical="center" wrapText="1"/>
      <protection/>
    </xf>
    <xf numFmtId="173" fontId="0" fillId="26" borderId="88" xfId="96" applyNumberFormat="1" applyFont="1" applyFill="1" applyBorder="1" applyAlignment="1" applyProtection="1">
      <alignment horizontal="center" vertical="center" wrapText="1"/>
      <protection/>
    </xf>
    <xf numFmtId="173" fontId="0" fillId="26" borderId="35" xfId="96" applyNumberFormat="1" applyFont="1" applyFill="1" applyBorder="1" applyAlignment="1" applyProtection="1">
      <alignment horizontal="center" vertical="center" wrapText="1"/>
      <protection/>
    </xf>
    <xf numFmtId="0" fontId="0" fillId="27" borderId="72" xfId="0" applyFill="1" applyBorder="1" applyAlignment="1" applyProtection="1">
      <alignment horizontal="center" vertical="center" wrapText="1"/>
      <protection/>
    </xf>
    <xf numFmtId="0" fontId="0" fillId="27" borderId="32" xfId="0" applyFill="1" applyBorder="1" applyAlignment="1" applyProtection="1">
      <alignment horizontal="center" vertical="center" wrapText="1"/>
      <protection/>
    </xf>
    <xf numFmtId="0" fontId="7" fillId="0" borderId="96" xfId="0" applyFont="1" applyBorder="1" applyAlignment="1" applyProtection="1">
      <alignment horizontal="center" vertical="center"/>
      <protection/>
    </xf>
    <xf numFmtId="0" fontId="25" fillId="0" borderId="0" xfId="0" applyFont="1" applyAlignment="1">
      <alignment horizontal="justify" wrapText="1"/>
    </xf>
    <xf numFmtId="173" fontId="0" fillId="26" borderId="72" xfId="96" applyNumberFormat="1" applyFont="1" applyFill="1" applyBorder="1" applyAlignment="1" applyProtection="1">
      <alignment horizontal="center" vertical="center" wrapText="1"/>
      <protection/>
    </xf>
    <xf numFmtId="173" fontId="0" fillId="26" borderId="32" xfId="96" applyNumberFormat="1" applyFont="1" applyFill="1" applyBorder="1" applyAlignment="1" applyProtection="1">
      <alignment horizontal="center" vertical="center" wrapText="1"/>
      <protection/>
    </xf>
    <xf numFmtId="176" fontId="0" fillId="26" borderId="77" xfId="0" applyNumberFormat="1" applyFill="1" applyBorder="1" applyAlignment="1" applyProtection="1">
      <alignment horizontal="center" vertical="center" wrapText="1"/>
      <protection/>
    </xf>
    <xf numFmtId="176" fontId="0" fillId="26" borderId="33" xfId="0" applyNumberFormat="1" applyFill="1" applyBorder="1" applyAlignment="1" applyProtection="1">
      <alignment horizontal="center" vertical="center" wrapText="1"/>
      <protection/>
    </xf>
    <xf numFmtId="176" fontId="10" fillId="26" borderId="78" xfId="0" applyNumberFormat="1" applyFont="1" applyFill="1" applyBorder="1" applyAlignment="1" applyProtection="1">
      <alignment horizontal="center" vertical="center" wrapText="1"/>
      <protection/>
    </xf>
    <xf numFmtId="176" fontId="10" fillId="26" borderId="51" xfId="0" applyNumberFormat="1" applyFont="1" applyFill="1" applyBorder="1" applyAlignment="1" applyProtection="1">
      <alignment horizontal="center" vertical="center" wrapText="1"/>
      <protection/>
    </xf>
    <xf numFmtId="0" fontId="0" fillId="34" borderId="72" xfId="0" applyFill="1" applyBorder="1" applyAlignment="1" applyProtection="1">
      <alignment horizontal="center" vertical="center" wrapText="1"/>
      <protection/>
    </xf>
    <xf numFmtId="0" fontId="0" fillId="34" borderId="32" xfId="0" applyFill="1" applyBorder="1" applyAlignment="1" applyProtection="1">
      <alignment horizontal="center" vertical="center" wrapText="1"/>
      <protection/>
    </xf>
    <xf numFmtId="0" fontId="3" fillId="26" borderId="86" xfId="0" applyFont="1" applyFill="1" applyBorder="1" applyAlignment="1" applyProtection="1">
      <alignment horizontal="center" vertical="center"/>
      <protection/>
    </xf>
    <xf numFmtId="0" fontId="3" fillId="26" borderId="36" xfId="0" applyFont="1" applyFill="1" applyBorder="1" applyAlignment="1" applyProtection="1">
      <alignment horizontal="center" vertical="center"/>
      <protection/>
    </xf>
    <xf numFmtId="0" fontId="3" fillId="26" borderId="102" xfId="0" applyFont="1" applyFill="1" applyBorder="1" applyAlignment="1" applyProtection="1">
      <alignment horizontal="center" vertical="center"/>
      <protection/>
    </xf>
    <xf numFmtId="0" fontId="3" fillId="27" borderId="86" xfId="0" applyFont="1" applyFill="1" applyBorder="1" applyAlignment="1" applyProtection="1">
      <alignment horizontal="center" vertical="center"/>
      <protection/>
    </xf>
    <xf numFmtId="0" fontId="3" fillId="27" borderId="36" xfId="0" applyFont="1" applyFill="1" applyBorder="1" applyAlignment="1" applyProtection="1">
      <alignment horizontal="center" vertical="center"/>
      <protection/>
    </xf>
    <xf numFmtId="0" fontId="3" fillId="27" borderId="102" xfId="0" applyFont="1" applyFill="1" applyBorder="1" applyAlignment="1" applyProtection="1">
      <alignment horizontal="center" vertical="center"/>
      <protection/>
    </xf>
    <xf numFmtId="2" fontId="1" fillId="0" borderId="68" xfId="0" applyNumberFormat="1" applyFont="1" applyBorder="1" applyAlignment="1" applyProtection="1">
      <alignment horizontal="center" vertical="center" wrapText="1"/>
      <protection/>
    </xf>
    <xf numFmtId="2" fontId="1" fillId="0" borderId="106" xfId="0" applyNumberFormat="1" applyFont="1" applyBorder="1" applyAlignment="1" applyProtection="1">
      <alignment horizontal="center" vertical="center" wrapText="1"/>
      <protection/>
    </xf>
    <xf numFmtId="0" fontId="1" fillId="33" borderId="78" xfId="0" applyFont="1" applyFill="1" applyBorder="1" applyAlignment="1" applyProtection="1">
      <alignment horizontal="center" vertical="center" wrapText="1"/>
      <protection/>
    </xf>
    <xf numFmtId="0" fontId="1" fillId="33" borderId="51" xfId="0" applyFont="1" applyFill="1" applyBorder="1" applyAlignment="1" applyProtection="1">
      <alignment horizontal="center" vertical="center" wrapText="1"/>
      <protection/>
    </xf>
    <xf numFmtId="0" fontId="1" fillId="31" borderId="78" xfId="0" applyFont="1" applyFill="1" applyBorder="1" applyAlignment="1" applyProtection="1">
      <alignment horizontal="center" vertical="center" wrapText="1"/>
      <protection/>
    </xf>
    <xf numFmtId="0" fontId="1" fillId="31" borderId="51" xfId="0" applyFont="1" applyFill="1" applyBorder="1" applyAlignment="1" applyProtection="1">
      <alignment horizontal="center" vertical="center" wrapText="1"/>
      <protection/>
    </xf>
    <xf numFmtId="0" fontId="1" fillId="32" borderId="77" xfId="0" applyFont="1" applyFill="1" applyBorder="1" applyAlignment="1" applyProtection="1">
      <alignment horizontal="center" vertical="center" wrapText="1"/>
      <protection/>
    </xf>
    <xf numFmtId="0" fontId="1" fillId="32" borderId="33" xfId="0" applyFont="1" applyFill="1" applyBorder="1" applyAlignment="1" applyProtection="1">
      <alignment horizontal="center" vertical="center" wrapText="1"/>
      <protection/>
    </xf>
    <xf numFmtId="0" fontId="49" fillId="0" borderId="76" xfId="0" applyFont="1" applyBorder="1" applyAlignment="1" applyProtection="1">
      <alignment horizontal="center" vertical="center" wrapText="1"/>
      <protection/>
    </xf>
    <xf numFmtId="0" fontId="49" fillId="0" borderId="52" xfId="0" applyFont="1" applyBorder="1" applyAlignment="1" applyProtection="1">
      <alignment horizontal="center" vertical="center" wrapText="1"/>
      <protection/>
    </xf>
    <xf numFmtId="0" fontId="49" fillId="0" borderId="105" xfId="0" applyFont="1" applyBorder="1" applyAlignment="1" applyProtection="1">
      <alignment horizontal="center" vertical="center" wrapText="1"/>
      <protection/>
    </xf>
    <xf numFmtId="9" fontId="49" fillId="0" borderId="82" xfId="143" applyFont="1" applyBorder="1" applyAlignment="1" applyProtection="1">
      <alignment horizontal="center" vertical="center"/>
      <protection/>
    </xf>
    <xf numFmtId="9" fontId="49" fillId="0" borderId="83" xfId="143" applyFont="1" applyBorder="1" applyAlignment="1" applyProtection="1">
      <alignment horizontal="center" vertical="center"/>
      <protection/>
    </xf>
    <xf numFmtId="9" fontId="49" fillId="0" borderId="87" xfId="143" applyFont="1" applyBorder="1" applyAlignment="1" applyProtection="1">
      <alignment horizontal="center" vertical="center"/>
      <protection/>
    </xf>
    <xf numFmtId="10" fontId="24" fillId="22" borderId="85" xfId="0" applyNumberFormat="1" applyFont="1" applyFill="1" applyBorder="1" applyAlignment="1" applyProtection="1">
      <alignment horizontal="center" vertical="center" wrapText="1"/>
      <protection/>
    </xf>
    <xf numFmtId="10" fontId="24" fillId="22" borderId="126" xfId="0" applyNumberFormat="1" applyFont="1" applyFill="1" applyBorder="1" applyAlignment="1" applyProtection="1">
      <alignment horizontal="center" vertical="center" wrapText="1"/>
      <protection/>
    </xf>
    <xf numFmtId="0" fontId="3" fillId="0" borderId="76" xfId="0" applyFont="1" applyFill="1" applyBorder="1" applyAlignment="1" applyProtection="1">
      <alignment horizontal="center" vertical="center" wrapText="1"/>
      <protection/>
    </xf>
    <xf numFmtId="0" fontId="3" fillId="0" borderId="82" xfId="0" applyFont="1" applyFill="1" applyBorder="1" applyAlignment="1" applyProtection="1">
      <alignment horizontal="center" vertical="center" wrapText="1"/>
      <protection/>
    </xf>
    <xf numFmtId="10" fontId="24" fillId="22" borderId="51" xfId="0" applyNumberFormat="1" applyFont="1" applyFill="1" applyBorder="1" applyAlignment="1" applyProtection="1">
      <alignment horizontal="center" vertical="center" wrapText="1"/>
      <protection/>
    </xf>
    <xf numFmtId="0" fontId="59" fillId="0" borderId="51" xfId="0" applyFont="1" applyFill="1" applyBorder="1" applyAlignment="1" applyProtection="1">
      <alignment horizontal="left" vertical="center"/>
      <protection/>
    </xf>
    <xf numFmtId="0" fontId="3" fillId="0" borderId="78" xfId="0" applyFont="1" applyFill="1" applyBorder="1" applyAlignment="1" applyProtection="1">
      <alignment horizontal="left" vertical="center" wrapText="1"/>
      <protection/>
    </xf>
    <xf numFmtId="0" fontId="3" fillId="0" borderId="126" xfId="0" applyFont="1" applyFill="1" applyBorder="1" applyAlignment="1" applyProtection="1">
      <alignment horizontal="left" vertical="center" wrapText="1"/>
      <protection/>
    </xf>
    <xf numFmtId="0" fontId="60" fillId="0" borderId="78" xfId="0" applyFont="1" applyFill="1" applyBorder="1" applyAlignment="1" applyProtection="1">
      <alignment horizontal="left" vertical="center" wrapText="1"/>
      <protection/>
    </xf>
    <xf numFmtId="0" fontId="60" fillId="0" borderId="126" xfId="0" applyFont="1" applyFill="1" applyBorder="1" applyAlignment="1" applyProtection="1">
      <alignment horizontal="left" vertical="center" wrapText="1"/>
      <protection/>
    </xf>
    <xf numFmtId="0" fontId="52" fillId="0" borderId="12" xfId="0" applyFont="1" applyFill="1" applyBorder="1" applyAlignment="1" applyProtection="1">
      <alignment horizontal="left" vertical="center"/>
      <protection/>
    </xf>
    <xf numFmtId="0" fontId="54" fillId="0" borderId="12" xfId="0" applyFont="1" applyFill="1" applyBorder="1" applyAlignment="1" applyProtection="1">
      <alignment horizontal="left" vertical="center"/>
      <protection/>
    </xf>
  </cellXfs>
  <cellStyles count="140">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omma0" xfId="98"/>
    <cellStyle name="Currency" xfId="99"/>
    <cellStyle name="Currency [0]" xfId="100"/>
    <cellStyle name="Currency 2" xfId="101"/>
    <cellStyle name="Currency0" xfId="102"/>
    <cellStyle name="Explanatory Text" xfId="103"/>
    <cellStyle name="Explanatory Text 2" xfId="104"/>
    <cellStyle name="Explanatory Text 3" xfId="105"/>
    <cellStyle name="Followed Hyperlink" xfId="106"/>
    <cellStyle name="Good" xfId="107"/>
    <cellStyle name="Good 2" xfId="108"/>
    <cellStyle name="Good 3" xfId="109"/>
    <cellStyle name="Heading 1" xfId="110"/>
    <cellStyle name="Heading 1 2" xfId="111"/>
    <cellStyle name="Heading 1 3" xfId="112"/>
    <cellStyle name="Heading 2" xfId="113"/>
    <cellStyle name="Heading 2 2" xfId="114"/>
    <cellStyle name="Heading 2 3" xfId="115"/>
    <cellStyle name="Heading 3" xfId="116"/>
    <cellStyle name="Heading 3 2" xfId="117"/>
    <cellStyle name="Heading 3 3" xfId="118"/>
    <cellStyle name="Heading 4" xfId="119"/>
    <cellStyle name="Heading 4 2" xfId="120"/>
    <cellStyle name="Heading 4 3" xfId="121"/>
    <cellStyle name="Hyperlink" xfId="122"/>
    <cellStyle name="Input" xfId="123"/>
    <cellStyle name="Input 2" xfId="124"/>
    <cellStyle name="Input 3" xfId="125"/>
    <cellStyle name="Linked Cell" xfId="126"/>
    <cellStyle name="Linked Cell 2" xfId="127"/>
    <cellStyle name="Linked Cell 3" xfId="128"/>
    <cellStyle name="Neutral" xfId="129"/>
    <cellStyle name="Neutral 2" xfId="130"/>
    <cellStyle name="Neutral 3" xfId="131"/>
    <cellStyle name="Normal 18" xfId="132"/>
    <cellStyle name="Normal 2" xfId="133"/>
    <cellStyle name="Normal 2 2" xfId="134"/>
    <cellStyle name="Normal 3 3" xfId="135"/>
    <cellStyle name="Normal 5" xfId="136"/>
    <cellStyle name="Note" xfId="137"/>
    <cellStyle name="Note 2" xfId="138"/>
    <cellStyle name="Note 3" xfId="139"/>
    <cellStyle name="Output" xfId="140"/>
    <cellStyle name="Output 2" xfId="141"/>
    <cellStyle name="Output 3" xfId="142"/>
    <cellStyle name="Percent" xfId="143"/>
    <cellStyle name="Percent 2" xfId="144"/>
    <cellStyle name="Title" xfId="145"/>
    <cellStyle name="Title 2" xfId="146"/>
    <cellStyle name="Title 3" xfId="147"/>
    <cellStyle name="Total" xfId="148"/>
    <cellStyle name="Total 2" xfId="149"/>
    <cellStyle name="Total 3" xfId="150"/>
    <cellStyle name="Warning Text" xfId="151"/>
    <cellStyle name="Warning Text 2" xfId="152"/>
    <cellStyle name="Warning Text 3" xfId="15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Comparison of Fee Rates: 2004 - 2014</a:t>
            </a:r>
          </a:p>
        </c:rich>
      </c:tx>
      <c:layout>
        <c:manualLayout>
          <c:xMode val="factor"/>
          <c:yMode val="factor"/>
          <c:x val="-0.00325"/>
          <c:y val="-0.013"/>
        </c:manualLayout>
      </c:layout>
      <c:spPr>
        <a:noFill/>
        <a:ln>
          <a:noFill/>
        </a:ln>
      </c:spPr>
    </c:title>
    <c:plotArea>
      <c:layout>
        <c:manualLayout>
          <c:xMode val="edge"/>
          <c:yMode val="edge"/>
          <c:x val="0"/>
          <c:y val="0"/>
          <c:w val="1"/>
          <c:h val="1"/>
        </c:manualLayout>
      </c:layout>
      <c:lineChart>
        <c:grouping val="standard"/>
        <c:varyColors val="0"/>
        <c:ser>
          <c:idx val="1"/>
          <c:order val="0"/>
          <c:tx>
            <c:strRef>
              <c:f>'Graph Data'!$B$3</c:f>
              <c:strCache>
                <c:ptCount val="1"/>
                <c:pt idx="0">
                  <c:v>2004 Fees</c:v>
                </c:pt>
              </c:strCache>
            </c:strRef>
          </c:tx>
          <c:spPr>
            <a:ln w="381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square"/>
            <c:size val="11"/>
            <c:spPr>
              <a:solidFill>
                <a:srgbClr val="FF99CC"/>
              </a:solidFill>
              <a:ln>
                <a:solidFill>
                  <a:srgbClr val="FF99CC"/>
                </a:solidFill>
              </a:ln>
            </c:spPr>
          </c:marker>
          <c:cat>
            <c:strRef>
              <c:f>'Graph Data'!$A$4:$A$26</c:f>
              <c:strCache>
                <c:ptCount val="23"/>
                <c:pt idx="0">
                  <c:v>Newsprint - CNA/OCNA</c:v>
                </c:pt>
                <c:pt idx="1">
                  <c:v>Newsprint - Non-CNA/OCNA</c:v>
                </c:pt>
                <c:pt idx="2">
                  <c:v>Magazines and Catalogues</c:v>
                </c:pt>
                <c:pt idx="3">
                  <c:v>Telephone Books</c:v>
                </c:pt>
                <c:pt idx="4">
                  <c:v>Other Printed Paper</c:v>
                </c:pt>
                <c:pt idx="5">
                  <c:v>Corrugated Cardboard</c:v>
                </c:pt>
                <c:pt idx="6">
                  <c:v>Boxboard</c:v>
                </c:pt>
                <c:pt idx="7">
                  <c:v>Gable Top Cartons</c:v>
                </c:pt>
                <c:pt idx="8">
                  <c:v>Paper Laminates</c:v>
                </c:pt>
                <c:pt idx="9">
                  <c:v>Aseptic Containers</c:v>
                </c:pt>
                <c:pt idx="10">
                  <c:v>PET Bottles</c:v>
                </c:pt>
                <c:pt idx="11">
                  <c:v>HDPE Bottles</c:v>
                </c:pt>
                <c:pt idx="12">
                  <c:v>Plastic Film</c:v>
                </c:pt>
                <c:pt idx="13">
                  <c:v>Plastic Laminates</c:v>
                </c:pt>
                <c:pt idx="14">
                  <c:v>Polystyrene</c:v>
                </c:pt>
                <c:pt idx="15">
                  <c:v>Other Plastics</c:v>
                </c:pt>
                <c:pt idx="16">
                  <c:v>Steel Food &amp; Beverage Cans</c:v>
                </c:pt>
                <c:pt idx="17">
                  <c:v>Steel Aerosols</c:v>
                </c:pt>
                <c:pt idx="18">
                  <c:v>Steel Paint Cans</c:v>
                </c:pt>
                <c:pt idx="19">
                  <c:v>Aluminum Food &amp; Beverage Cans</c:v>
                </c:pt>
                <c:pt idx="20">
                  <c:v>Other Aluminum Packaging</c:v>
                </c:pt>
                <c:pt idx="21">
                  <c:v>Clear Glass</c:v>
                </c:pt>
                <c:pt idx="22">
                  <c:v>Coloured Glass</c:v>
                </c:pt>
              </c:strCache>
            </c:strRef>
          </c:cat>
          <c:val>
            <c:numRef>
              <c:f>'Graph Data'!$B$4:$B$26</c:f>
              <c:numCache>
                <c:ptCount val="23"/>
                <c:pt idx="0">
                  <c:v>0.26</c:v>
                </c:pt>
                <c:pt idx="1">
                  <c:v>0.26</c:v>
                </c:pt>
                <c:pt idx="2">
                  <c:v>3.1</c:v>
                </c:pt>
                <c:pt idx="3">
                  <c:v>6.87</c:v>
                </c:pt>
                <c:pt idx="4">
                  <c:v>13.18</c:v>
                </c:pt>
                <c:pt idx="5">
                  <c:v>59.87</c:v>
                </c:pt>
                <c:pt idx="6">
                  <c:v>59.87</c:v>
                </c:pt>
                <c:pt idx="7">
                  <c:v>59.87</c:v>
                </c:pt>
                <c:pt idx="8">
                  <c:v>59.87</c:v>
                </c:pt>
                <c:pt idx="9">
                  <c:v>59.87</c:v>
                </c:pt>
                <c:pt idx="10">
                  <c:v>96.1</c:v>
                </c:pt>
                <c:pt idx="11">
                  <c:v>96.1</c:v>
                </c:pt>
                <c:pt idx="12">
                  <c:v>96.1</c:v>
                </c:pt>
                <c:pt idx="13">
                  <c:v>96.1</c:v>
                </c:pt>
                <c:pt idx="14">
                  <c:v>96.1</c:v>
                </c:pt>
                <c:pt idx="15">
                  <c:v>96.1</c:v>
                </c:pt>
                <c:pt idx="16">
                  <c:v>43.91</c:v>
                </c:pt>
                <c:pt idx="17">
                  <c:v>43.91</c:v>
                </c:pt>
                <c:pt idx="18">
                  <c:v>43.91</c:v>
                </c:pt>
                <c:pt idx="19">
                  <c:v>-35.78</c:v>
                </c:pt>
                <c:pt idx="20">
                  <c:v>16.18</c:v>
                </c:pt>
                <c:pt idx="21">
                  <c:v>36.82</c:v>
                </c:pt>
                <c:pt idx="22">
                  <c:v>39.16</c:v>
                </c:pt>
              </c:numCache>
            </c:numRef>
          </c:val>
          <c:smooth val="0"/>
        </c:ser>
        <c:ser>
          <c:idx val="2"/>
          <c:order val="1"/>
          <c:tx>
            <c:strRef>
              <c:f>'Graph Data'!$C$3</c:f>
              <c:strCache>
                <c:ptCount val="1"/>
                <c:pt idx="0">
                  <c:v>2005 Fees</c:v>
                </c:pt>
              </c:strCache>
            </c:strRef>
          </c:tx>
          <c:spPr>
            <a:ln w="38100">
              <a:solidFill>
                <a:srgbClr val="FFFF99"/>
              </a:solidFill>
            </a:ln>
          </c:spPr>
          <c:extLst>
            <c:ext xmlns:c14="http://schemas.microsoft.com/office/drawing/2007/8/2/chart" uri="{6F2FDCE9-48DA-4B69-8628-5D25D57E5C99}">
              <c14:invertSolidFillFmt>
                <c14:spPr>
                  <a:solidFill>
                    <a:srgbClr val="000000"/>
                  </a:solidFill>
                </c14:spPr>
              </c14:invertSolidFillFmt>
            </c:ext>
          </c:extLst>
          <c:marker>
            <c:symbol val="square"/>
            <c:size val="11"/>
            <c:spPr>
              <a:solidFill>
                <a:srgbClr val="FFFF99"/>
              </a:solidFill>
              <a:ln>
                <a:solidFill>
                  <a:srgbClr val="FFFF99"/>
                </a:solidFill>
              </a:ln>
            </c:spPr>
          </c:marker>
          <c:cat>
            <c:strRef>
              <c:f>'Graph Data'!$A$4:$A$26</c:f>
              <c:strCache>
                <c:ptCount val="23"/>
                <c:pt idx="0">
                  <c:v>Newsprint - CNA/OCNA</c:v>
                </c:pt>
                <c:pt idx="1">
                  <c:v>Newsprint - Non-CNA/OCNA</c:v>
                </c:pt>
                <c:pt idx="2">
                  <c:v>Magazines and Catalogues</c:v>
                </c:pt>
                <c:pt idx="3">
                  <c:v>Telephone Books</c:v>
                </c:pt>
                <c:pt idx="4">
                  <c:v>Other Printed Paper</c:v>
                </c:pt>
                <c:pt idx="5">
                  <c:v>Corrugated Cardboard</c:v>
                </c:pt>
                <c:pt idx="6">
                  <c:v>Boxboard</c:v>
                </c:pt>
                <c:pt idx="7">
                  <c:v>Gable Top Cartons</c:v>
                </c:pt>
                <c:pt idx="8">
                  <c:v>Paper Laminates</c:v>
                </c:pt>
                <c:pt idx="9">
                  <c:v>Aseptic Containers</c:v>
                </c:pt>
                <c:pt idx="10">
                  <c:v>PET Bottles</c:v>
                </c:pt>
                <c:pt idx="11">
                  <c:v>HDPE Bottles</c:v>
                </c:pt>
                <c:pt idx="12">
                  <c:v>Plastic Film</c:v>
                </c:pt>
                <c:pt idx="13">
                  <c:v>Plastic Laminates</c:v>
                </c:pt>
                <c:pt idx="14">
                  <c:v>Polystyrene</c:v>
                </c:pt>
                <c:pt idx="15">
                  <c:v>Other Plastics</c:v>
                </c:pt>
                <c:pt idx="16">
                  <c:v>Steel Food &amp; Beverage Cans</c:v>
                </c:pt>
                <c:pt idx="17">
                  <c:v>Steel Aerosols</c:v>
                </c:pt>
                <c:pt idx="18">
                  <c:v>Steel Paint Cans</c:v>
                </c:pt>
                <c:pt idx="19">
                  <c:v>Aluminum Food &amp; Beverage Cans</c:v>
                </c:pt>
                <c:pt idx="20">
                  <c:v>Other Aluminum Packaging</c:v>
                </c:pt>
                <c:pt idx="21">
                  <c:v>Clear Glass</c:v>
                </c:pt>
                <c:pt idx="22">
                  <c:v>Coloured Glass</c:v>
                </c:pt>
              </c:strCache>
            </c:strRef>
          </c:cat>
          <c:val>
            <c:numRef>
              <c:f>'Graph Data'!$C$4:$C$26</c:f>
              <c:numCache>
                <c:ptCount val="23"/>
                <c:pt idx="0">
                  <c:v>0.76</c:v>
                </c:pt>
                <c:pt idx="1">
                  <c:v>7.86</c:v>
                </c:pt>
                <c:pt idx="2">
                  <c:v>8.62</c:v>
                </c:pt>
                <c:pt idx="3">
                  <c:v>13.02</c:v>
                </c:pt>
                <c:pt idx="4">
                  <c:v>90.29</c:v>
                </c:pt>
                <c:pt idx="5">
                  <c:v>79.04</c:v>
                </c:pt>
                <c:pt idx="6">
                  <c:v>79.04</c:v>
                </c:pt>
                <c:pt idx="7">
                  <c:v>79.04</c:v>
                </c:pt>
                <c:pt idx="8">
                  <c:v>79.04</c:v>
                </c:pt>
                <c:pt idx="9">
                  <c:v>79.04</c:v>
                </c:pt>
                <c:pt idx="10">
                  <c:v>139.07</c:v>
                </c:pt>
                <c:pt idx="11">
                  <c:v>139.07</c:v>
                </c:pt>
                <c:pt idx="12">
                  <c:v>139.07</c:v>
                </c:pt>
                <c:pt idx="13">
                  <c:v>139.07</c:v>
                </c:pt>
                <c:pt idx="14">
                  <c:v>139.07</c:v>
                </c:pt>
                <c:pt idx="15">
                  <c:v>139.07</c:v>
                </c:pt>
                <c:pt idx="16">
                  <c:v>47.45</c:v>
                </c:pt>
                <c:pt idx="17">
                  <c:v>47.45</c:v>
                </c:pt>
                <c:pt idx="18">
                  <c:v>47.45</c:v>
                </c:pt>
                <c:pt idx="19">
                  <c:v>-10.93</c:v>
                </c:pt>
                <c:pt idx="20">
                  <c:v>55.02</c:v>
                </c:pt>
                <c:pt idx="21">
                  <c:v>37.61</c:v>
                </c:pt>
                <c:pt idx="22">
                  <c:v>44.32</c:v>
                </c:pt>
              </c:numCache>
            </c:numRef>
          </c:val>
          <c:smooth val="0"/>
        </c:ser>
        <c:ser>
          <c:idx val="4"/>
          <c:order val="2"/>
          <c:tx>
            <c:strRef>
              <c:f>'Graph Data'!$D$3</c:f>
              <c:strCache>
                <c:ptCount val="1"/>
                <c:pt idx="0">
                  <c:v>2006 Fees</c:v>
                </c:pt>
              </c:strCache>
            </c:strRef>
          </c:tx>
          <c:spPr>
            <a:ln w="381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square"/>
            <c:size val="11"/>
            <c:spPr>
              <a:solidFill>
                <a:srgbClr val="CC99FF"/>
              </a:solidFill>
              <a:ln>
                <a:solidFill>
                  <a:srgbClr val="CC99FF"/>
                </a:solidFill>
              </a:ln>
            </c:spPr>
          </c:marker>
          <c:cat>
            <c:strRef>
              <c:f>'Graph Data'!$A$4:$A$26</c:f>
              <c:strCache>
                <c:ptCount val="23"/>
                <c:pt idx="0">
                  <c:v>Newsprint - CNA/OCNA</c:v>
                </c:pt>
                <c:pt idx="1">
                  <c:v>Newsprint - Non-CNA/OCNA</c:v>
                </c:pt>
                <c:pt idx="2">
                  <c:v>Magazines and Catalogues</c:v>
                </c:pt>
                <c:pt idx="3">
                  <c:v>Telephone Books</c:v>
                </c:pt>
                <c:pt idx="4">
                  <c:v>Other Printed Paper</c:v>
                </c:pt>
                <c:pt idx="5">
                  <c:v>Corrugated Cardboard</c:v>
                </c:pt>
                <c:pt idx="6">
                  <c:v>Boxboard</c:v>
                </c:pt>
                <c:pt idx="7">
                  <c:v>Gable Top Cartons</c:v>
                </c:pt>
                <c:pt idx="8">
                  <c:v>Paper Laminates</c:v>
                </c:pt>
                <c:pt idx="9">
                  <c:v>Aseptic Containers</c:v>
                </c:pt>
                <c:pt idx="10">
                  <c:v>PET Bottles</c:v>
                </c:pt>
                <c:pt idx="11">
                  <c:v>HDPE Bottles</c:v>
                </c:pt>
                <c:pt idx="12">
                  <c:v>Plastic Film</c:v>
                </c:pt>
                <c:pt idx="13">
                  <c:v>Plastic Laminates</c:v>
                </c:pt>
                <c:pt idx="14">
                  <c:v>Polystyrene</c:v>
                </c:pt>
                <c:pt idx="15">
                  <c:v>Other Plastics</c:v>
                </c:pt>
                <c:pt idx="16">
                  <c:v>Steel Food &amp; Beverage Cans</c:v>
                </c:pt>
                <c:pt idx="17">
                  <c:v>Steel Aerosols</c:v>
                </c:pt>
                <c:pt idx="18">
                  <c:v>Steel Paint Cans</c:v>
                </c:pt>
                <c:pt idx="19">
                  <c:v>Aluminum Food &amp; Beverage Cans</c:v>
                </c:pt>
                <c:pt idx="20">
                  <c:v>Other Aluminum Packaging</c:v>
                </c:pt>
                <c:pt idx="21">
                  <c:v>Clear Glass</c:v>
                </c:pt>
                <c:pt idx="22">
                  <c:v>Coloured Glass</c:v>
                </c:pt>
              </c:strCache>
            </c:strRef>
          </c:cat>
          <c:val>
            <c:numRef>
              <c:f>'Graph Data'!$D$4:$D$26</c:f>
              <c:numCache>
                <c:ptCount val="23"/>
                <c:pt idx="0">
                  <c:v>1.82</c:v>
                </c:pt>
                <c:pt idx="1">
                  <c:v>7.33189299419214</c:v>
                </c:pt>
                <c:pt idx="2">
                  <c:v>14.80554348602006</c:v>
                </c:pt>
                <c:pt idx="3">
                  <c:v>11.895464629483744</c:v>
                </c:pt>
                <c:pt idx="4">
                  <c:v>79.59753115094605</c:v>
                </c:pt>
                <c:pt idx="5">
                  <c:v>76.72544671319383</c:v>
                </c:pt>
                <c:pt idx="6">
                  <c:v>76.72544671319383</c:v>
                </c:pt>
                <c:pt idx="7">
                  <c:v>76.72544671319383</c:v>
                </c:pt>
                <c:pt idx="8">
                  <c:v>76.72544671319383</c:v>
                </c:pt>
                <c:pt idx="9">
                  <c:v>76.72544671319383</c:v>
                </c:pt>
                <c:pt idx="10">
                  <c:v>135.55549560358926</c:v>
                </c:pt>
                <c:pt idx="11">
                  <c:v>135.55549560358926</c:v>
                </c:pt>
                <c:pt idx="12">
                  <c:v>135.55549560358926</c:v>
                </c:pt>
                <c:pt idx="13">
                  <c:v>135.55549560358926</c:v>
                </c:pt>
                <c:pt idx="14">
                  <c:v>135.55549560358926</c:v>
                </c:pt>
                <c:pt idx="15">
                  <c:v>135.55549560358926</c:v>
                </c:pt>
                <c:pt idx="16">
                  <c:v>46.012677353665175</c:v>
                </c:pt>
                <c:pt idx="17">
                  <c:v>46.012677353665175</c:v>
                </c:pt>
                <c:pt idx="18">
                  <c:v>46.012677353665175</c:v>
                </c:pt>
                <c:pt idx="19">
                  <c:v>-4.764947496477933</c:v>
                </c:pt>
                <c:pt idx="20">
                  <c:v>35.76863819998456</c:v>
                </c:pt>
                <c:pt idx="21">
                  <c:v>33.09389591339549</c:v>
                </c:pt>
                <c:pt idx="22">
                  <c:v>36.02415673609086</c:v>
                </c:pt>
              </c:numCache>
            </c:numRef>
          </c:val>
          <c:smooth val="0"/>
        </c:ser>
        <c:ser>
          <c:idx val="5"/>
          <c:order val="3"/>
          <c:tx>
            <c:strRef>
              <c:f>'Graph Data'!$E$3</c:f>
              <c:strCache>
                <c:ptCount val="1"/>
                <c:pt idx="0">
                  <c:v>2007 Fees</c:v>
                </c:pt>
              </c:strCache>
            </c:strRef>
          </c:tx>
          <c:spPr>
            <a:ln w="38100">
              <a:solidFill>
                <a:srgbClr val="CCFFCC"/>
              </a:solidFill>
            </a:ln>
          </c:spPr>
          <c:extLst>
            <c:ext xmlns:c14="http://schemas.microsoft.com/office/drawing/2007/8/2/chart" uri="{6F2FDCE9-48DA-4B69-8628-5D25D57E5C99}">
              <c14:invertSolidFillFmt>
                <c14:spPr>
                  <a:solidFill>
                    <a:srgbClr val="000000"/>
                  </a:solidFill>
                </c14:spPr>
              </c14:invertSolidFillFmt>
            </c:ext>
          </c:extLst>
          <c:marker>
            <c:symbol val="square"/>
            <c:size val="11"/>
            <c:spPr>
              <a:solidFill>
                <a:srgbClr val="CCFFCC"/>
              </a:solidFill>
              <a:ln>
                <a:solidFill>
                  <a:srgbClr val="CCFFCC"/>
                </a:solidFill>
              </a:ln>
            </c:spPr>
          </c:marker>
          <c:cat>
            <c:strRef>
              <c:f>'Graph Data'!$A$4:$A$26</c:f>
              <c:strCache>
                <c:ptCount val="23"/>
                <c:pt idx="0">
                  <c:v>Newsprint - CNA/OCNA</c:v>
                </c:pt>
                <c:pt idx="1">
                  <c:v>Newsprint - Non-CNA/OCNA</c:v>
                </c:pt>
                <c:pt idx="2">
                  <c:v>Magazines and Catalogues</c:v>
                </c:pt>
                <c:pt idx="3">
                  <c:v>Telephone Books</c:v>
                </c:pt>
                <c:pt idx="4">
                  <c:v>Other Printed Paper</c:v>
                </c:pt>
                <c:pt idx="5">
                  <c:v>Corrugated Cardboard</c:v>
                </c:pt>
                <c:pt idx="6">
                  <c:v>Boxboard</c:v>
                </c:pt>
                <c:pt idx="7">
                  <c:v>Gable Top Cartons</c:v>
                </c:pt>
                <c:pt idx="8">
                  <c:v>Paper Laminates</c:v>
                </c:pt>
                <c:pt idx="9">
                  <c:v>Aseptic Containers</c:v>
                </c:pt>
                <c:pt idx="10">
                  <c:v>PET Bottles</c:v>
                </c:pt>
                <c:pt idx="11">
                  <c:v>HDPE Bottles</c:v>
                </c:pt>
                <c:pt idx="12">
                  <c:v>Plastic Film</c:v>
                </c:pt>
                <c:pt idx="13">
                  <c:v>Plastic Laminates</c:v>
                </c:pt>
                <c:pt idx="14">
                  <c:v>Polystyrene</c:v>
                </c:pt>
                <c:pt idx="15">
                  <c:v>Other Plastics</c:v>
                </c:pt>
                <c:pt idx="16">
                  <c:v>Steel Food &amp; Beverage Cans</c:v>
                </c:pt>
                <c:pt idx="17">
                  <c:v>Steel Aerosols</c:v>
                </c:pt>
                <c:pt idx="18">
                  <c:v>Steel Paint Cans</c:v>
                </c:pt>
                <c:pt idx="19">
                  <c:v>Aluminum Food &amp; Beverage Cans</c:v>
                </c:pt>
                <c:pt idx="20">
                  <c:v>Other Aluminum Packaging</c:v>
                </c:pt>
                <c:pt idx="21">
                  <c:v>Clear Glass</c:v>
                </c:pt>
                <c:pt idx="22">
                  <c:v>Coloured Glass</c:v>
                </c:pt>
              </c:strCache>
            </c:strRef>
          </c:cat>
          <c:val>
            <c:numRef>
              <c:f>'Graph Data'!$E$4:$E$26</c:f>
              <c:numCache>
                <c:ptCount val="23"/>
                <c:pt idx="0">
                  <c:v>1.979799338111835</c:v>
                </c:pt>
                <c:pt idx="1">
                  <c:v>6.742588963340355</c:v>
                </c:pt>
                <c:pt idx="2">
                  <c:v>18.401472742575557</c:v>
                </c:pt>
                <c:pt idx="3">
                  <c:v>18.401472742575557</c:v>
                </c:pt>
                <c:pt idx="4">
                  <c:v>18.401472742575557</c:v>
                </c:pt>
                <c:pt idx="5">
                  <c:v>71.65715999360948</c:v>
                </c:pt>
                <c:pt idx="6">
                  <c:v>71.65715999360948</c:v>
                </c:pt>
                <c:pt idx="7">
                  <c:v>100.55331036250215</c:v>
                </c:pt>
                <c:pt idx="8">
                  <c:v>100.55331036250215</c:v>
                </c:pt>
                <c:pt idx="9">
                  <c:v>100.55331036250215</c:v>
                </c:pt>
                <c:pt idx="10">
                  <c:v>116.44484070604007</c:v>
                </c:pt>
                <c:pt idx="11">
                  <c:v>99.28814165840889</c:v>
                </c:pt>
                <c:pt idx="12">
                  <c:v>147.20437670271855</c:v>
                </c:pt>
                <c:pt idx="13">
                  <c:v>147.20437670271855</c:v>
                </c:pt>
                <c:pt idx="14">
                  <c:v>147.20437670271855</c:v>
                </c:pt>
                <c:pt idx="15">
                  <c:v>147.20437670271855</c:v>
                </c:pt>
                <c:pt idx="16">
                  <c:v>43.979181803223526</c:v>
                </c:pt>
                <c:pt idx="17">
                  <c:v>43.979181803223526</c:v>
                </c:pt>
                <c:pt idx="18">
                  <c:v>43.979181803223526</c:v>
                </c:pt>
                <c:pt idx="19">
                  <c:v>-18.631222727235745</c:v>
                </c:pt>
                <c:pt idx="20">
                  <c:v>58.626861865452575</c:v>
                </c:pt>
                <c:pt idx="21">
                  <c:v>35.9646386862942</c:v>
                </c:pt>
                <c:pt idx="22">
                  <c:v>40.76751128855327</c:v>
                </c:pt>
              </c:numCache>
            </c:numRef>
          </c:val>
          <c:smooth val="0"/>
        </c:ser>
        <c:ser>
          <c:idx val="0"/>
          <c:order val="4"/>
          <c:tx>
            <c:strRef>
              <c:f>'Graph Data'!$F$3</c:f>
              <c:strCache>
                <c:ptCount val="1"/>
                <c:pt idx="0">
                  <c:v>2008 Fees</c:v>
                </c:pt>
              </c:strCache>
            </c:strRef>
          </c:tx>
          <c:spPr>
            <a:ln w="254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square"/>
            <c:size val="11"/>
            <c:spPr>
              <a:solidFill>
                <a:srgbClr val="008080"/>
              </a:solidFill>
              <a:ln>
                <a:solidFill>
                  <a:srgbClr val="008080"/>
                </a:solidFill>
              </a:ln>
            </c:spPr>
          </c:marker>
          <c:cat>
            <c:strRef>
              <c:f>'Graph Data'!$A$4:$A$26</c:f>
              <c:strCache>
                <c:ptCount val="23"/>
                <c:pt idx="0">
                  <c:v>Newsprint - CNA/OCNA</c:v>
                </c:pt>
                <c:pt idx="1">
                  <c:v>Newsprint - Non-CNA/OCNA</c:v>
                </c:pt>
                <c:pt idx="2">
                  <c:v>Magazines and Catalogues</c:v>
                </c:pt>
                <c:pt idx="3">
                  <c:v>Telephone Books</c:v>
                </c:pt>
                <c:pt idx="4">
                  <c:v>Other Printed Paper</c:v>
                </c:pt>
                <c:pt idx="5">
                  <c:v>Corrugated Cardboard</c:v>
                </c:pt>
                <c:pt idx="6">
                  <c:v>Boxboard</c:v>
                </c:pt>
                <c:pt idx="7">
                  <c:v>Gable Top Cartons</c:v>
                </c:pt>
                <c:pt idx="8">
                  <c:v>Paper Laminates</c:v>
                </c:pt>
                <c:pt idx="9">
                  <c:v>Aseptic Containers</c:v>
                </c:pt>
                <c:pt idx="10">
                  <c:v>PET Bottles</c:v>
                </c:pt>
                <c:pt idx="11">
                  <c:v>HDPE Bottles</c:v>
                </c:pt>
                <c:pt idx="12">
                  <c:v>Plastic Film</c:v>
                </c:pt>
                <c:pt idx="13">
                  <c:v>Plastic Laminates</c:v>
                </c:pt>
                <c:pt idx="14">
                  <c:v>Polystyrene</c:v>
                </c:pt>
                <c:pt idx="15">
                  <c:v>Other Plastics</c:v>
                </c:pt>
                <c:pt idx="16">
                  <c:v>Steel Food &amp; Beverage Cans</c:v>
                </c:pt>
                <c:pt idx="17">
                  <c:v>Steel Aerosols</c:v>
                </c:pt>
                <c:pt idx="18">
                  <c:v>Steel Paint Cans</c:v>
                </c:pt>
                <c:pt idx="19">
                  <c:v>Aluminum Food &amp; Beverage Cans</c:v>
                </c:pt>
                <c:pt idx="20">
                  <c:v>Other Aluminum Packaging</c:v>
                </c:pt>
                <c:pt idx="21">
                  <c:v>Clear Glass</c:v>
                </c:pt>
                <c:pt idx="22">
                  <c:v>Coloured Glass</c:v>
                </c:pt>
              </c:strCache>
            </c:strRef>
          </c:cat>
          <c:val>
            <c:numRef>
              <c:f>'Graph Data'!$F$4:$F$26</c:f>
              <c:numCache>
                <c:ptCount val="23"/>
                <c:pt idx="0">
                  <c:v>1.478071136328613</c:v>
                </c:pt>
                <c:pt idx="1">
                  <c:v>7.638253904580368</c:v>
                </c:pt>
                <c:pt idx="2">
                  <c:v>21.824292805857553</c:v>
                </c:pt>
                <c:pt idx="3">
                  <c:v>21.824292805857553</c:v>
                </c:pt>
                <c:pt idx="4">
                  <c:v>21.824292805857553</c:v>
                </c:pt>
                <c:pt idx="5">
                  <c:v>72.51641775723046</c:v>
                </c:pt>
                <c:pt idx="6">
                  <c:v>72.51641775723046</c:v>
                </c:pt>
                <c:pt idx="7">
                  <c:v>125.34432015022884</c:v>
                </c:pt>
                <c:pt idx="8">
                  <c:v>125.34432015022884</c:v>
                </c:pt>
                <c:pt idx="9">
                  <c:v>125.34432015022884</c:v>
                </c:pt>
                <c:pt idx="10">
                  <c:v>112.37744395249348</c:v>
                </c:pt>
                <c:pt idx="11">
                  <c:v>111.34854100248793</c:v>
                </c:pt>
                <c:pt idx="12">
                  <c:v>184.48623410160064</c:v>
                </c:pt>
                <c:pt idx="13">
                  <c:v>184.48623410160064</c:v>
                </c:pt>
                <c:pt idx="14">
                  <c:v>184.48623410160064</c:v>
                </c:pt>
                <c:pt idx="15">
                  <c:v>184.48623410160064</c:v>
                </c:pt>
                <c:pt idx="16">
                  <c:v>47.4363670769528</c:v>
                </c:pt>
                <c:pt idx="17">
                  <c:v>47.4363670769528</c:v>
                </c:pt>
                <c:pt idx="18">
                  <c:v>47.4363670769528</c:v>
                </c:pt>
                <c:pt idx="19">
                  <c:v>-22.15278870253392</c:v>
                </c:pt>
                <c:pt idx="20">
                  <c:v>50.95339436536893</c:v>
                </c:pt>
                <c:pt idx="21">
                  <c:v>35.2937202783169</c:v>
                </c:pt>
                <c:pt idx="22">
                  <c:v>39.76028107810004</c:v>
                </c:pt>
              </c:numCache>
            </c:numRef>
          </c:val>
          <c:smooth val="0"/>
        </c:ser>
        <c:ser>
          <c:idx val="6"/>
          <c:order val="5"/>
          <c:tx>
            <c:strRef>
              <c:f>'Graph Data'!$G$3</c:f>
              <c:strCache>
                <c:ptCount val="1"/>
                <c:pt idx="0">
                  <c:v>2009 Fees</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11"/>
            <c:spPr>
              <a:solidFill>
                <a:srgbClr val="000080"/>
              </a:solidFill>
              <a:ln>
                <a:solidFill>
                  <a:srgbClr val="000080"/>
                </a:solidFill>
              </a:ln>
            </c:spPr>
          </c:marker>
          <c:cat>
            <c:strRef>
              <c:f>'Graph Data'!$A$4:$A$26</c:f>
              <c:strCache>
                <c:ptCount val="23"/>
                <c:pt idx="0">
                  <c:v>Newsprint - CNA/OCNA</c:v>
                </c:pt>
                <c:pt idx="1">
                  <c:v>Newsprint - Non-CNA/OCNA</c:v>
                </c:pt>
                <c:pt idx="2">
                  <c:v>Magazines and Catalogues</c:v>
                </c:pt>
                <c:pt idx="3">
                  <c:v>Telephone Books</c:v>
                </c:pt>
                <c:pt idx="4">
                  <c:v>Other Printed Paper</c:v>
                </c:pt>
                <c:pt idx="5">
                  <c:v>Corrugated Cardboard</c:v>
                </c:pt>
                <c:pt idx="6">
                  <c:v>Boxboard</c:v>
                </c:pt>
                <c:pt idx="7">
                  <c:v>Gable Top Cartons</c:v>
                </c:pt>
                <c:pt idx="8">
                  <c:v>Paper Laminates</c:v>
                </c:pt>
                <c:pt idx="9">
                  <c:v>Aseptic Containers</c:v>
                </c:pt>
                <c:pt idx="10">
                  <c:v>PET Bottles</c:v>
                </c:pt>
                <c:pt idx="11">
                  <c:v>HDPE Bottles</c:v>
                </c:pt>
                <c:pt idx="12">
                  <c:v>Plastic Film</c:v>
                </c:pt>
                <c:pt idx="13">
                  <c:v>Plastic Laminates</c:v>
                </c:pt>
                <c:pt idx="14">
                  <c:v>Polystyrene</c:v>
                </c:pt>
                <c:pt idx="15">
                  <c:v>Other Plastics</c:v>
                </c:pt>
                <c:pt idx="16">
                  <c:v>Steel Food &amp; Beverage Cans</c:v>
                </c:pt>
                <c:pt idx="17">
                  <c:v>Steel Aerosols</c:v>
                </c:pt>
                <c:pt idx="18">
                  <c:v>Steel Paint Cans</c:v>
                </c:pt>
                <c:pt idx="19">
                  <c:v>Aluminum Food &amp; Beverage Cans</c:v>
                </c:pt>
                <c:pt idx="20">
                  <c:v>Other Aluminum Packaging</c:v>
                </c:pt>
                <c:pt idx="21">
                  <c:v>Clear Glass</c:v>
                </c:pt>
                <c:pt idx="22">
                  <c:v>Coloured Glass</c:v>
                </c:pt>
              </c:strCache>
            </c:strRef>
          </c:cat>
          <c:val>
            <c:numRef>
              <c:f>'Graph Data'!$G$4:$G$26</c:f>
              <c:numCache>
                <c:ptCount val="23"/>
                <c:pt idx="0">
                  <c:v>1.5418634318364675</c:v>
                </c:pt>
                <c:pt idx="1">
                  <c:v>13.460826036568722</c:v>
                </c:pt>
                <c:pt idx="2">
                  <c:v>33.73381813204801</c:v>
                </c:pt>
                <c:pt idx="3">
                  <c:v>33.73381813204801</c:v>
                </c:pt>
                <c:pt idx="4">
                  <c:v>33.73381813204801</c:v>
                </c:pt>
                <c:pt idx="5">
                  <c:v>80.20087024775773</c:v>
                </c:pt>
                <c:pt idx="6">
                  <c:v>80.20087024775773</c:v>
                </c:pt>
                <c:pt idx="7">
                  <c:v>135.08362386516842</c:v>
                </c:pt>
                <c:pt idx="8">
                  <c:v>135.08362386516842</c:v>
                </c:pt>
                <c:pt idx="9">
                  <c:v>135.08362386516842</c:v>
                </c:pt>
                <c:pt idx="10">
                  <c:v>124.84027705283846</c:v>
                </c:pt>
                <c:pt idx="11">
                  <c:v>113.71795639706075</c:v>
                </c:pt>
                <c:pt idx="12">
                  <c:v>190.26836732120478</c:v>
                </c:pt>
                <c:pt idx="13">
                  <c:v>190.26836732120478</c:v>
                </c:pt>
                <c:pt idx="14">
                  <c:v>190.26836732120478</c:v>
                </c:pt>
                <c:pt idx="15">
                  <c:v>190.26836732120478</c:v>
                </c:pt>
                <c:pt idx="16">
                  <c:v>49.98391473422041</c:v>
                </c:pt>
                <c:pt idx="17">
                  <c:v>49.98391473422041</c:v>
                </c:pt>
                <c:pt idx="18">
                  <c:v>49.98391473422041</c:v>
                </c:pt>
                <c:pt idx="19">
                  <c:v>-29.836865039925833</c:v>
                </c:pt>
                <c:pt idx="20">
                  <c:v>59.2060316177282</c:v>
                </c:pt>
                <c:pt idx="21">
                  <c:v>34.61226032585347</c:v>
                </c:pt>
                <c:pt idx="22">
                  <c:v>43.43895222844472</c:v>
                </c:pt>
              </c:numCache>
            </c:numRef>
          </c:val>
          <c:smooth val="0"/>
        </c:ser>
        <c:ser>
          <c:idx val="3"/>
          <c:order val="6"/>
          <c:tx>
            <c:strRef>
              <c:f>'Graph Data'!$H$3</c:f>
              <c:strCache>
                <c:ptCount val="1"/>
                <c:pt idx="0">
                  <c:v>2010 Fees</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 Data'!$A$4:$A$26</c:f>
              <c:strCache>
                <c:ptCount val="23"/>
                <c:pt idx="0">
                  <c:v>Newsprint - CNA/OCNA</c:v>
                </c:pt>
                <c:pt idx="1">
                  <c:v>Newsprint - Non-CNA/OCNA</c:v>
                </c:pt>
                <c:pt idx="2">
                  <c:v>Magazines and Catalogues</c:v>
                </c:pt>
                <c:pt idx="3">
                  <c:v>Telephone Books</c:v>
                </c:pt>
                <c:pt idx="4">
                  <c:v>Other Printed Paper</c:v>
                </c:pt>
                <c:pt idx="5">
                  <c:v>Corrugated Cardboard</c:v>
                </c:pt>
                <c:pt idx="6">
                  <c:v>Boxboard</c:v>
                </c:pt>
                <c:pt idx="7">
                  <c:v>Gable Top Cartons</c:v>
                </c:pt>
                <c:pt idx="8">
                  <c:v>Paper Laminates</c:v>
                </c:pt>
                <c:pt idx="9">
                  <c:v>Aseptic Containers</c:v>
                </c:pt>
                <c:pt idx="10">
                  <c:v>PET Bottles</c:v>
                </c:pt>
                <c:pt idx="11">
                  <c:v>HDPE Bottles</c:v>
                </c:pt>
                <c:pt idx="12">
                  <c:v>Plastic Film</c:v>
                </c:pt>
                <c:pt idx="13">
                  <c:v>Plastic Laminates</c:v>
                </c:pt>
                <c:pt idx="14">
                  <c:v>Polystyrene</c:v>
                </c:pt>
                <c:pt idx="15">
                  <c:v>Other Plastics</c:v>
                </c:pt>
                <c:pt idx="16">
                  <c:v>Steel Food &amp; Beverage Cans</c:v>
                </c:pt>
                <c:pt idx="17">
                  <c:v>Steel Aerosols</c:v>
                </c:pt>
                <c:pt idx="18">
                  <c:v>Steel Paint Cans</c:v>
                </c:pt>
                <c:pt idx="19">
                  <c:v>Aluminum Food &amp; Beverage Cans</c:v>
                </c:pt>
                <c:pt idx="20">
                  <c:v>Other Aluminum Packaging</c:v>
                </c:pt>
                <c:pt idx="21">
                  <c:v>Clear Glass</c:v>
                </c:pt>
                <c:pt idx="22">
                  <c:v>Coloured Glass</c:v>
                </c:pt>
              </c:strCache>
            </c:strRef>
          </c:cat>
          <c:val>
            <c:numRef>
              <c:f>'Graph Data'!$H$4:$H$26</c:f>
              <c:numCache>
                <c:ptCount val="23"/>
                <c:pt idx="0">
                  <c:v>1.7</c:v>
                </c:pt>
                <c:pt idx="1">
                  <c:v>7.1</c:v>
                </c:pt>
                <c:pt idx="2">
                  <c:v>19.7</c:v>
                </c:pt>
                <c:pt idx="3">
                  <c:v>19.7</c:v>
                </c:pt>
                <c:pt idx="4">
                  <c:v>19.7</c:v>
                </c:pt>
                <c:pt idx="5">
                  <c:v>78.1</c:v>
                </c:pt>
                <c:pt idx="6">
                  <c:v>78.1</c:v>
                </c:pt>
                <c:pt idx="7">
                  <c:v>196.5</c:v>
                </c:pt>
                <c:pt idx="8">
                  <c:v>196.5</c:v>
                </c:pt>
                <c:pt idx="9">
                  <c:v>196.5</c:v>
                </c:pt>
                <c:pt idx="10">
                  <c:v>129.8</c:v>
                </c:pt>
                <c:pt idx="11">
                  <c:v>124.9</c:v>
                </c:pt>
                <c:pt idx="12">
                  <c:v>246.5</c:v>
                </c:pt>
                <c:pt idx="13">
                  <c:v>246.5</c:v>
                </c:pt>
                <c:pt idx="14">
                  <c:v>246.5</c:v>
                </c:pt>
                <c:pt idx="15">
                  <c:v>246.5</c:v>
                </c:pt>
                <c:pt idx="16">
                  <c:v>55.4</c:v>
                </c:pt>
                <c:pt idx="17">
                  <c:v>55.4</c:v>
                </c:pt>
                <c:pt idx="18">
                  <c:v>55.4</c:v>
                </c:pt>
                <c:pt idx="19">
                  <c:v>-22</c:v>
                </c:pt>
                <c:pt idx="20">
                  <c:v>13.9</c:v>
                </c:pt>
                <c:pt idx="21">
                  <c:v>38</c:v>
                </c:pt>
                <c:pt idx="22">
                  <c:v>41</c:v>
                </c:pt>
              </c:numCache>
            </c:numRef>
          </c:val>
          <c:smooth val="0"/>
        </c:ser>
        <c:ser>
          <c:idx val="7"/>
          <c:order val="7"/>
          <c:tx>
            <c:strRef>
              <c:f>'Graph Data'!$I$3</c:f>
              <c:strCache>
                <c:ptCount val="1"/>
                <c:pt idx="0">
                  <c:v>2011 Fees</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FF"/>
              </a:solidFill>
              <a:ln>
                <a:solidFill>
                  <a:srgbClr val="0000FF"/>
                </a:solidFill>
              </a:ln>
            </c:spPr>
          </c:marker>
          <c:cat>
            <c:strRef>
              <c:f>'Graph Data'!$A$4:$A$26</c:f>
              <c:strCache>
                <c:ptCount val="23"/>
                <c:pt idx="0">
                  <c:v>Newsprint - CNA/OCNA</c:v>
                </c:pt>
                <c:pt idx="1">
                  <c:v>Newsprint - Non-CNA/OCNA</c:v>
                </c:pt>
                <c:pt idx="2">
                  <c:v>Magazines and Catalogues</c:v>
                </c:pt>
                <c:pt idx="3">
                  <c:v>Telephone Books</c:v>
                </c:pt>
                <c:pt idx="4">
                  <c:v>Other Printed Paper</c:v>
                </c:pt>
                <c:pt idx="5">
                  <c:v>Corrugated Cardboard</c:v>
                </c:pt>
                <c:pt idx="6">
                  <c:v>Boxboard</c:v>
                </c:pt>
                <c:pt idx="7">
                  <c:v>Gable Top Cartons</c:v>
                </c:pt>
                <c:pt idx="8">
                  <c:v>Paper Laminates</c:v>
                </c:pt>
                <c:pt idx="9">
                  <c:v>Aseptic Containers</c:v>
                </c:pt>
                <c:pt idx="10">
                  <c:v>PET Bottles</c:v>
                </c:pt>
                <c:pt idx="11">
                  <c:v>HDPE Bottles</c:v>
                </c:pt>
                <c:pt idx="12">
                  <c:v>Plastic Film</c:v>
                </c:pt>
                <c:pt idx="13">
                  <c:v>Plastic Laminates</c:v>
                </c:pt>
                <c:pt idx="14">
                  <c:v>Polystyrene</c:v>
                </c:pt>
                <c:pt idx="15">
                  <c:v>Other Plastics</c:v>
                </c:pt>
                <c:pt idx="16">
                  <c:v>Steel Food &amp; Beverage Cans</c:v>
                </c:pt>
                <c:pt idx="17">
                  <c:v>Steel Aerosols</c:v>
                </c:pt>
                <c:pt idx="18">
                  <c:v>Steel Paint Cans</c:v>
                </c:pt>
                <c:pt idx="19">
                  <c:v>Aluminum Food &amp; Beverage Cans</c:v>
                </c:pt>
                <c:pt idx="20">
                  <c:v>Other Aluminum Packaging</c:v>
                </c:pt>
                <c:pt idx="21">
                  <c:v>Clear Glass</c:v>
                </c:pt>
                <c:pt idx="22">
                  <c:v>Coloured Glass</c:v>
                </c:pt>
              </c:strCache>
            </c:strRef>
          </c:cat>
          <c:val>
            <c:numRef>
              <c:f>'Graph Data'!$I$4:$I$26</c:f>
              <c:numCache>
                <c:ptCount val="23"/>
                <c:pt idx="0">
                  <c:v>2.9000000000000004</c:v>
                </c:pt>
                <c:pt idx="1">
                  <c:v>11.2</c:v>
                </c:pt>
                <c:pt idx="2">
                  <c:v>24.8</c:v>
                </c:pt>
                <c:pt idx="3">
                  <c:v>24.8</c:v>
                </c:pt>
                <c:pt idx="4">
                  <c:v>24.8</c:v>
                </c:pt>
                <c:pt idx="5">
                  <c:v>77</c:v>
                </c:pt>
                <c:pt idx="6">
                  <c:v>77</c:v>
                </c:pt>
                <c:pt idx="7">
                  <c:v>237.5</c:v>
                </c:pt>
                <c:pt idx="8">
                  <c:v>237.5</c:v>
                </c:pt>
                <c:pt idx="9">
                  <c:v>237.5</c:v>
                </c:pt>
                <c:pt idx="10">
                  <c:v>137.8</c:v>
                </c:pt>
                <c:pt idx="11">
                  <c:v>132.7</c:v>
                </c:pt>
                <c:pt idx="12">
                  <c:v>281.6</c:v>
                </c:pt>
                <c:pt idx="13">
                  <c:v>281.6</c:v>
                </c:pt>
                <c:pt idx="14">
                  <c:v>281.6</c:v>
                </c:pt>
                <c:pt idx="15">
                  <c:v>281.6</c:v>
                </c:pt>
                <c:pt idx="16">
                  <c:v>62.6</c:v>
                </c:pt>
                <c:pt idx="17">
                  <c:v>62.6</c:v>
                </c:pt>
                <c:pt idx="18">
                  <c:v>62.6</c:v>
                </c:pt>
                <c:pt idx="19">
                  <c:v>5.2</c:v>
                </c:pt>
                <c:pt idx="20">
                  <c:v>75</c:v>
                </c:pt>
                <c:pt idx="21">
                  <c:v>36.9</c:v>
                </c:pt>
                <c:pt idx="22">
                  <c:v>53.5</c:v>
                </c:pt>
              </c:numCache>
            </c:numRef>
          </c:val>
          <c:smooth val="0"/>
        </c:ser>
        <c:ser>
          <c:idx val="8"/>
          <c:order val="8"/>
          <c:tx>
            <c:strRef>
              <c:f>'Graph Data'!$J$3</c:f>
              <c:strCache>
                <c:ptCount val="1"/>
                <c:pt idx="0">
                  <c:v>2012 Fees</c:v>
                </c:pt>
              </c:strCache>
            </c:strRef>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 Data'!$A$4:$A$26</c:f>
              <c:strCache>
                <c:ptCount val="23"/>
                <c:pt idx="0">
                  <c:v>Newsprint - CNA/OCNA</c:v>
                </c:pt>
                <c:pt idx="1">
                  <c:v>Newsprint - Non-CNA/OCNA</c:v>
                </c:pt>
                <c:pt idx="2">
                  <c:v>Magazines and Catalogues</c:v>
                </c:pt>
                <c:pt idx="3">
                  <c:v>Telephone Books</c:v>
                </c:pt>
                <c:pt idx="4">
                  <c:v>Other Printed Paper</c:v>
                </c:pt>
                <c:pt idx="5">
                  <c:v>Corrugated Cardboard</c:v>
                </c:pt>
                <c:pt idx="6">
                  <c:v>Boxboard</c:v>
                </c:pt>
                <c:pt idx="7">
                  <c:v>Gable Top Cartons</c:v>
                </c:pt>
                <c:pt idx="8">
                  <c:v>Paper Laminates</c:v>
                </c:pt>
                <c:pt idx="9">
                  <c:v>Aseptic Containers</c:v>
                </c:pt>
                <c:pt idx="10">
                  <c:v>PET Bottles</c:v>
                </c:pt>
                <c:pt idx="11">
                  <c:v>HDPE Bottles</c:v>
                </c:pt>
                <c:pt idx="12">
                  <c:v>Plastic Film</c:v>
                </c:pt>
                <c:pt idx="13">
                  <c:v>Plastic Laminates</c:v>
                </c:pt>
                <c:pt idx="14">
                  <c:v>Polystyrene</c:v>
                </c:pt>
                <c:pt idx="15">
                  <c:v>Other Plastics</c:v>
                </c:pt>
                <c:pt idx="16">
                  <c:v>Steel Food &amp; Beverage Cans</c:v>
                </c:pt>
                <c:pt idx="17">
                  <c:v>Steel Aerosols</c:v>
                </c:pt>
                <c:pt idx="18">
                  <c:v>Steel Paint Cans</c:v>
                </c:pt>
                <c:pt idx="19">
                  <c:v>Aluminum Food &amp; Beverage Cans</c:v>
                </c:pt>
                <c:pt idx="20">
                  <c:v>Other Aluminum Packaging</c:v>
                </c:pt>
                <c:pt idx="21">
                  <c:v>Clear Glass</c:v>
                </c:pt>
                <c:pt idx="22">
                  <c:v>Coloured Glass</c:v>
                </c:pt>
              </c:strCache>
            </c:strRef>
          </c:cat>
          <c:val>
            <c:numRef>
              <c:f>'Graph Data'!$J$4:$J$26</c:f>
              <c:numCache>
                <c:ptCount val="23"/>
                <c:pt idx="0">
                  <c:v>3.3</c:v>
                </c:pt>
                <c:pt idx="1">
                  <c:v>20.199999999999996</c:v>
                </c:pt>
                <c:pt idx="2">
                  <c:v>54.5</c:v>
                </c:pt>
                <c:pt idx="3">
                  <c:v>54.5</c:v>
                </c:pt>
                <c:pt idx="4">
                  <c:v>54.5</c:v>
                </c:pt>
                <c:pt idx="5">
                  <c:v>114.48524813645756</c:v>
                </c:pt>
                <c:pt idx="6">
                  <c:v>93.369105045682</c:v>
                </c:pt>
                <c:pt idx="7">
                  <c:v>187.6</c:v>
                </c:pt>
                <c:pt idx="8">
                  <c:v>187.6</c:v>
                </c:pt>
                <c:pt idx="9">
                  <c:v>187.6</c:v>
                </c:pt>
                <c:pt idx="10">
                  <c:v>162.4</c:v>
                </c:pt>
                <c:pt idx="11">
                  <c:v>136</c:v>
                </c:pt>
                <c:pt idx="12">
                  <c:v>272.3</c:v>
                </c:pt>
                <c:pt idx="13">
                  <c:v>272.3</c:v>
                </c:pt>
                <c:pt idx="14">
                  <c:v>272.3</c:v>
                </c:pt>
                <c:pt idx="15">
                  <c:v>293.217403265496</c:v>
                </c:pt>
                <c:pt idx="16">
                  <c:v>60.69999999999999</c:v>
                </c:pt>
                <c:pt idx="17">
                  <c:v>60.69999999999999</c:v>
                </c:pt>
                <c:pt idx="18">
                  <c:v>60.69999999999999</c:v>
                </c:pt>
                <c:pt idx="19">
                  <c:v>20</c:v>
                </c:pt>
                <c:pt idx="20">
                  <c:v>84.1</c:v>
                </c:pt>
                <c:pt idx="21">
                  <c:v>32.699999999999996</c:v>
                </c:pt>
                <c:pt idx="22">
                  <c:v>38.3</c:v>
                </c:pt>
              </c:numCache>
            </c:numRef>
          </c:val>
          <c:smooth val="0"/>
        </c:ser>
        <c:ser>
          <c:idx val="9"/>
          <c:order val="9"/>
          <c:tx>
            <c:strRef>
              <c:f>'Graph Data'!$K$3</c:f>
              <c:strCache>
                <c:ptCount val="1"/>
                <c:pt idx="0">
                  <c:v>2013 Fees</c:v>
                </c:pt>
              </c:strCache>
            </c:strRef>
          </c:tx>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C0C0C0"/>
              </a:solidFill>
              <a:ln>
                <a:solidFill>
                  <a:srgbClr val="9999FF"/>
                </a:solidFill>
              </a:ln>
            </c:spPr>
          </c:marker>
          <c:cat>
            <c:strRef>
              <c:f>'Graph Data'!$A$4:$A$26</c:f>
              <c:strCache>
                <c:ptCount val="23"/>
                <c:pt idx="0">
                  <c:v>Newsprint - CNA/OCNA</c:v>
                </c:pt>
                <c:pt idx="1">
                  <c:v>Newsprint - Non-CNA/OCNA</c:v>
                </c:pt>
                <c:pt idx="2">
                  <c:v>Magazines and Catalogues</c:v>
                </c:pt>
                <c:pt idx="3">
                  <c:v>Telephone Books</c:v>
                </c:pt>
                <c:pt idx="4">
                  <c:v>Other Printed Paper</c:v>
                </c:pt>
                <c:pt idx="5">
                  <c:v>Corrugated Cardboard</c:v>
                </c:pt>
                <c:pt idx="6">
                  <c:v>Boxboard</c:v>
                </c:pt>
                <c:pt idx="7">
                  <c:v>Gable Top Cartons</c:v>
                </c:pt>
                <c:pt idx="8">
                  <c:v>Paper Laminates</c:v>
                </c:pt>
                <c:pt idx="9">
                  <c:v>Aseptic Containers</c:v>
                </c:pt>
                <c:pt idx="10">
                  <c:v>PET Bottles</c:v>
                </c:pt>
                <c:pt idx="11">
                  <c:v>HDPE Bottles</c:v>
                </c:pt>
                <c:pt idx="12">
                  <c:v>Plastic Film</c:v>
                </c:pt>
                <c:pt idx="13">
                  <c:v>Plastic Laminates</c:v>
                </c:pt>
                <c:pt idx="14">
                  <c:v>Polystyrene</c:v>
                </c:pt>
                <c:pt idx="15">
                  <c:v>Other Plastics</c:v>
                </c:pt>
                <c:pt idx="16">
                  <c:v>Steel Food &amp; Beverage Cans</c:v>
                </c:pt>
                <c:pt idx="17">
                  <c:v>Steel Aerosols</c:v>
                </c:pt>
                <c:pt idx="18">
                  <c:v>Steel Paint Cans</c:v>
                </c:pt>
                <c:pt idx="19">
                  <c:v>Aluminum Food &amp; Beverage Cans</c:v>
                </c:pt>
                <c:pt idx="20">
                  <c:v>Other Aluminum Packaging</c:v>
                </c:pt>
                <c:pt idx="21">
                  <c:v>Clear Glass</c:v>
                </c:pt>
                <c:pt idx="22">
                  <c:v>Coloured Glass</c:v>
                </c:pt>
              </c:strCache>
            </c:strRef>
          </c:cat>
          <c:val>
            <c:numRef>
              <c:f>'Graph Data'!$K$4:$K$26</c:f>
              <c:numCache>
                <c:ptCount val="23"/>
                <c:pt idx="0">
                  <c:v>4.2</c:v>
                </c:pt>
                <c:pt idx="1">
                  <c:v>36.199999999999996</c:v>
                </c:pt>
                <c:pt idx="2">
                  <c:v>64.7</c:v>
                </c:pt>
                <c:pt idx="3">
                  <c:v>66.4</c:v>
                </c:pt>
                <c:pt idx="4">
                  <c:v>99.9</c:v>
                </c:pt>
                <c:pt idx="5">
                  <c:v>83.9</c:v>
                </c:pt>
                <c:pt idx="6">
                  <c:v>83.9</c:v>
                </c:pt>
                <c:pt idx="7">
                  <c:v>182.20000000000005</c:v>
                </c:pt>
                <c:pt idx="8">
                  <c:v>182.20000000000005</c:v>
                </c:pt>
                <c:pt idx="9">
                  <c:v>182.20000000000005</c:v>
                </c:pt>
                <c:pt idx="10">
                  <c:v>147</c:v>
                </c:pt>
                <c:pt idx="11">
                  <c:v>135.2</c:v>
                </c:pt>
                <c:pt idx="12">
                  <c:v>232.70000000000005</c:v>
                </c:pt>
                <c:pt idx="13">
                  <c:v>232.70000000000005</c:v>
                </c:pt>
                <c:pt idx="14">
                  <c:v>232.70000000000005</c:v>
                </c:pt>
                <c:pt idx="15">
                  <c:v>232.70000000000005</c:v>
                </c:pt>
                <c:pt idx="16">
                  <c:v>55.1</c:v>
                </c:pt>
                <c:pt idx="17">
                  <c:v>55.1</c:v>
                </c:pt>
                <c:pt idx="18">
                  <c:v>55.1</c:v>
                </c:pt>
                <c:pt idx="19">
                  <c:v>25.599999999999994</c:v>
                </c:pt>
                <c:pt idx="20">
                  <c:v>69.7</c:v>
                </c:pt>
                <c:pt idx="21">
                  <c:v>28.4</c:v>
                </c:pt>
                <c:pt idx="22">
                  <c:v>48.4</c:v>
                </c:pt>
              </c:numCache>
            </c:numRef>
          </c:val>
          <c:smooth val="0"/>
        </c:ser>
        <c:ser>
          <c:idx val="10"/>
          <c:order val="10"/>
          <c:tx>
            <c:strRef>
              <c:f>'Graph Data'!$L$3</c:f>
              <c:strCache>
                <c:ptCount val="1"/>
                <c:pt idx="0">
                  <c:v>2014 Fees</c:v>
                </c:pt>
              </c:strCache>
            </c:strRef>
          </c:tx>
          <c:spPr>
            <a:ln w="25400">
              <a:solidFill>
                <a:srgbClr val="99CCFF"/>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CCFF"/>
              </a:solidFill>
              <a:ln>
                <a:solidFill>
                  <a:srgbClr val="99CCFF"/>
                </a:solidFill>
              </a:ln>
            </c:spPr>
          </c:marker>
          <c:cat>
            <c:strRef>
              <c:f>'Graph Data'!$A$4:$A$26</c:f>
              <c:strCache>
                <c:ptCount val="23"/>
                <c:pt idx="0">
                  <c:v>Newsprint - CNA/OCNA</c:v>
                </c:pt>
                <c:pt idx="1">
                  <c:v>Newsprint - Non-CNA/OCNA</c:v>
                </c:pt>
                <c:pt idx="2">
                  <c:v>Magazines and Catalogues</c:v>
                </c:pt>
                <c:pt idx="3">
                  <c:v>Telephone Books</c:v>
                </c:pt>
                <c:pt idx="4">
                  <c:v>Other Printed Paper</c:v>
                </c:pt>
                <c:pt idx="5">
                  <c:v>Corrugated Cardboard</c:v>
                </c:pt>
                <c:pt idx="6">
                  <c:v>Boxboard</c:v>
                </c:pt>
                <c:pt idx="7">
                  <c:v>Gable Top Cartons</c:v>
                </c:pt>
                <c:pt idx="8">
                  <c:v>Paper Laminates</c:v>
                </c:pt>
                <c:pt idx="9">
                  <c:v>Aseptic Containers</c:v>
                </c:pt>
                <c:pt idx="10">
                  <c:v>PET Bottles</c:v>
                </c:pt>
                <c:pt idx="11">
                  <c:v>HDPE Bottles</c:v>
                </c:pt>
                <c:pt idx="12">
                  <c:v>Plastic Film</c:v>
                </c:pt>
                <c:pt idx="13">
                  <c:v>Plastic Laminates</c:v>
                </c:pt>
                <c:pt idx="14">
                  <c:v>Polystyrene</c:v>
                </c:pt>
                <c:pt idx="15">
                  <c:v>Other Plastics</c:v>
                </c:pt>
                <c:pt idx="16">
                  <c:v>Steel Food &amp; Beverage Cans</c:v>
                </c:pt>
                <c:pt idx="17">
                  <c:v>Steel Aerosols</c:v>
                </c:pt>
                <c:pt idx="18">
                  <c:v>Steel Paint Cans</c:v>
                </c:pt>
                <c:pt idx="19">
                  <c:v>Aluminum Food &amp; Beverage Cans</c:v>
                </c:pt>
                <c:pt idx="20">
                  <c:v>Other Aluminum Packaging</c:v>
                </c:pt>
                <c:pt idx="21">
                  <c:v>Clear Glass</c:v>
                </c:pt>
                <c:pt idx="22">
                  <c:v>Coloured Glass</c:v>
                </c:pt>
              </c:strCache>
            </c:strRef>
          </c:cat>
          <c:val>
            <c:numRef>
              <c:f>'Graph Data'!$L$4:$L$26</c:f>
              <c:numCache>
                <c:ptCount val="23"/>
                <c:pt idx="0">
                  <c:v>3</c:v>
                </c:pt>
                <c:pt idx="1">
                  <c:v>41.8</c:v>
                </c:pt>
                <c:pt idx="2">
                  <c:v>67.4</c:v>
                </c:pt>
                <c:pt idx="3">
                  <c:v>64.6</c:v>
                </c:pt>
                <c:pt idx="4">
                  <c:v>122.9</c:v>
                </c:pt>
                <c:pt idx="5">
                  <c:v>81</c:v>
                </c:pt>
                <c:pt idx="6">
                  <c:v>81</c:v>
                </c:pt>
                <c:pt idx="7">
                  <c:v>181.9</c:v>
                </c:pt>
                <c:pt idx="8">
                  <c:v>181.9</c:v>
                </c:pt>
                <c:pt idx="9">
                  <c:v>181.9</c:v>
                </c:pt>
                <c:pt idx="10">
                  <c:v>140.2</c:v>
                </c:pt>
                <c:pt idx="11">
                  <c:v>126.2</c:v>
                </c:pt>
                <c:pt idx="12">
                  <c:v>225.40000000000003</c:v>
                </c:pt>
                <c:pt idx="13">
                  <c:v>225.40000000000003</c:v>
                </c:pt>
                <c:pt idx="14">
                  <c:v>225.40000000000003</c:v>
                </c:pt>
                <c:pt idx="15">
                  <c:v>225.40000000000003</c:v>
                </c:pt>
                <c:pt idx="16">
                  <c:v>50.6</c:v>
                </c:pt>
                <c:pt idx="17">
                  <c:v>50.6</c:v>
                </c:pt>
                <c:pt idx="18">
                  <c:v>50.6</c:v>
                </c:pt>
                <c:pt idx="19">
                  <c:v>17.7</c:v>
                </c:pt>
                <c:pt idx="20">
                  <c:v>65.69999999999999</c:v>
                </c:pt>
                <c:pt idx="21">
                  <c:v>27.1</c:v>
                </c:pt>
                <c:pt idx="22">
                  <c:v>43.599999999999994</c:v>
                </c:pt>
              </c:numCache>
            </c:numRef>
          </c:val>
          <c:smooth val="0"/>
        </c:ser>
        <c:marker val="1"/>
        <c:axId val="63768536"/>
        <c:axId val="37045913"/>
      </c:lineChart>
      <c:catAx>
        <c:axId val="63768536"/>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37045913"/>
        <c:crosses val="autoZero"/>
        <c:auto val="1"/>
        <c:lblOffset val="100"/>
        <c:tickLblSkip val="1"/>
        <c:noMultiLvlLbl val="0"/>
      </c:catAx>
      <c:valAx>
        <c:axId val="37045913"/>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Total Fee Rate ($/tonne)</a:t>
                </a:r>
              </a:p>
            </c:rich>
          </c:tx>
          <c:layout>
            <c:manualLayout>
              <c:xMode val="factor"/>
              <c:yMode val="factor"/>
              <c:x val="-0.0205"/>
              <c:y val="-0.00525"/>
            </c:manualLayout>
          </c:layout>
          <c:overlay val="0"/>
          <c:spPr>
            <a:noFill/>
            <a:ln>
              <a:noFill/>
            </a:ln>
          </c:spPr>
        </c:title>
        <c:delete val="0"/>
        <c:numFmt formatCode="0" sourceLinked="0"/>
        <c:majorTickMark val="out"/>
        <c:minorTickMark val="none"/>
        <c:tickLblPos val="nextTo"/>
        <c:spPr>
          <a:ln w="3175">
            <a:solidFill>
              <a:srgbClr val="000000"/>
            </a:solidFill>
          </a:ln>
        </c:spPr>
        <c:crossAx val="63768536"/>
        <c:crossesAt val="1"/>
        <c:crossBetween val="between"/>
        <c:dispUnits/>
      </c:valAx>
      <c:spPr>
        <a:noFill/>
        <a:ln>
          <a:noFill/>
        </a:ln>
      </c:spPr>
    </c:plotArea>
    <c:legend>
      <c:legendPos val="r"/>
      <c:layout>
        <c:manualLayout>
          <c:xMode val="edge"/>
          <c:yMode val="edge"/>
          <c:x val="0.16625"/>
          <c:y val="0.08225"/>
          <c:w val="0.1005"/>
          <c:h val="0.35825"/>
        </c:manualLayout>
      </c:layout>
      <c:overlay val="0"/>
      <c:spPr>
        <a:solidFill>
          <a:srgbClr val="FFFFFF"/>
        </a:solidFill>
        <a:ln w="3175">
          <a:noFill/>
        </a:ln>
      </c:spPr>
      <c:txPr>
        <a:bodyPr vert="horz" rot="0"/>
        <a:lstStyle/>
        <a:p>
          <a:pPr>
            <a:defRPr lang="en-US" cap="none" sz="69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Pr codeName="Chart5"/>
  <sheetViews>
    <sheetView workbookViewId="0" zoomScale="115"/>
  </sheetViews>
  <pageMargins left="0.7480314960629921" right="0.7480314960629921" top="0.984251968503937" bottom="0.984251968503937" header="0.5118110236220472" footer="0.5118110236220472"/>
  <pageSetup horizontalDpi="600" verticalDpi="600" orientation="landscape"/>
  <headerFooter>
    <oddFooter>&amp;L&amp;12Steward Fee-Setting&amp;R&amp;12Stewardship Ontario, 
November, 2013</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67750" cy="59436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I76"/>
  <sheetViews>
    <sheetView showGridLines="0" zoomScale="85" zoomScaleNormal="85" zoomScalePageLayoutView="0" workbookViewId="0" topLeftCell="A1">
      <selection activeCell="B5" sqref="B5"/>
    </sheetView>
  </sheetViews>
  <sheetFormatPr defaultColWidth="9.140625" defaultRowHeight="12.75"/>
  <cols>
    <col min="1" max="1" width="41.8515625" style="2" customWidth="1"/>
    <col min="2" max="2" width="19.00390625" style="2" customWidth="1"/>
    <col min="3" max="3" width="12.28125" style="2" bestFit="1" customWidth="1"/>
    <col min="4" max="4" width="30.28125" style="2" customWidth="1"/>
    <col min="5" max="5" width="21.57421875" style="2" customWidth="1"/>
    <col min="6" max="6" width="12.00390625" style="2" bestFit="1" customWidth="1"/>
    <col min="7" max="8" width="18.421875" style="2" customWidth="1"/>
    <col min="9" max="16384" width="9.140625" style="2" customWidth="1"/>
  </cols>
  <sheetData>
    <row r="1" spans="1:5" ht="26.25">
      <c r="A1" s="424" t="s">
        <v>186</v>
      </c>
      <c r="E1" s="746"/>
    </row>
    <row r="2" spans="1:8" ht="15.75">
      <c r="A2" s="900"/>
      <c r="B2" s="900"/>
      <c r="C2" s="900"/>
      <c r="D2" s="900"/>
      <c r="E2" s="900"/>
      <c r="F2" s="900"/>
      <c r="G2" s="900"/>
      <c r="H2" s="900"/>
    </row>
    <row r="3" ht="13.5" thickBot="1"/>
    <row r="4" spans="1:9" ht="77.25" thickBot="1">
      <c r="A4" s="894" t="s">
        <v>106</v>
      </c>
      <c r="B4" s="895" t="s">
        <v>201</v>
      </c>
      <c r="D4" s="628"/>
      <c r="E4" s="750" t="s">
        <v>187</v>
      </c>
      <c r="G4" s="898" t="s">
        <v>112</v>
      </c>
      <c r="H4" s="899"/>
      <c r="I4" s="727"/>
    </row>
    <row r="5" spans="1:9" ht="12.75">
      <c r="A5" s="618" t="s">
        <v>202</v>
      </c>
      <c r="B5" s="889">
        <f>'Sheet 2 Gross &amp; Net Costs'!K43</f>
        <v>99016092.41116889</v>
      </c>
      <c r="C5" s="280"/>
      <c r="D5" s="629"/>
      <c r="E5" s="751" t="s">
        <v>58</v>
      </c>
      <c r="G5" s="625"/>
      <c r="H5" s="564" t="s">
        <v>100</v>
      </c>
      <c r="I5" s="727"/>
    </row>
    <row r="6" spans="1:9" ht="12.75">
      <c r="A6" s="619"/>
      <c r="B6" s="888"/>
      <c r="C6" s="97"/>
      <c r="D6" s="623" t="s">
        <v>83</v>
      </c>
      <c r="E6" s="849">
        <v>160023.2887</v>
      </c>
      <c r="F6" s="850"/>
      <c r="G6" s="851" t="s">
        <v>0</v>
      </c>
      <c r="H6" s="852">
        <v>0.189</v>
      </c>
      <c r="I6" s="830"/>
    </row>
    <row r="7" spans="1:9" ht="12.75">
      <c r="A7" s="619" t="s">
        <v>123</v>
      </c>
      <c r="B7" s="888">
        <f>(B5-B20)*0.05</f>
        <v>4633958.508932444</v>
      </c>
      <c r="C7" s="97"/>
      <c r="D7" s="623" t="s">
        <v>64</v>
      </c>
      <c r="E7" s="849">
        <v>115543.30010000001</v>
      </c>
      <c r="F7" s="850"/>
      <c r="G7" s="851" t="s">
        <v>4</v>
      </c>
      <c r="H7" s="852">
        <v>0.273</v>
      </c>
      <c r="I7" s="830"/>
    </row>
    <row r="8" spans="1:9" ht="12.75">
      <c r="A8" s="619"/>
      <c r="B8" s="890"/>
      <c r="C8" s="97"/>
      <c r="D8" s="623" t="s">
        <v>3</v>
      </c>
      <c r="E8" s="849">
        <v>39846.553</v>
      </c>
      <c r="F8" s="850"/>
      <c r="G8" s="851" t="s">
        <v>138</v>
      </c>
      <c r="H8" s="852">
        <v>0.386</v>
      </c>
      <c r="I8" s="830"/>
    </row>
    <row r="9" spans="1:9" ht="12.75">
      <c r="A9" s="618" t="s">
        <v>61</v>
      </c>
      <c r="B9" s="891"/>
      <c r="C9" s="97"/>
      <c r="D9" s="623" t="s">
        <v>1</v>
      </c>
      <c r="E9" s="849">
        <v>4507.6197999999995</v>
      </c>
      <c r="F9" s="850"/>
      <c r="G9" s="851" t="s">
        <v>36</v>
      </c>
      <c r="H9" s="852">
        <v>0.053</v>
      </c>
      <c r="I9" s="830"/>
    </row>
    <row r="10" spans="1:9" ht="12.75">
      <c r="A10" s="619" t="s">
        <v>40</v>
      </c>
      <c r="B10" s="888">
        <f>'Sheet 2 Gross &amp; Net Costs'!K12/'Sheet 2 Gross &amp; Net Costs'!K41*Parameters!B5</f>
        <v>20526056.367109027</v>
      </c>
      <c r="C10" s="97"/>
      <c r="D10" s="623" t="s">
        <v>2</v>
      </c>
      <c r="E10" s="849">
        <v>55758.58488</v>
      </c>
      <c r="F10" s="850"/>
      <c r="G10" s="851" t="s">
        <v>9</v>
      </c>
      <c r="H10" s="852">
        <v>0.051</v>
      </c>
      <c r="I10" s="830"/>
    </row>
    <row r="11" spans="1:9" ht="12.75">
      <c r="A11" s="619" t="s">
        <v>41</v>
      </c>
      <c r="B11" s="888">
        <f>B5-B10</f>
        <v>78490036.04405986</v>
      </c>
      <c r="C11" s="97"/>
      <c r="D11" s="623" t="s">
        <v>133</v>
      </c>
      <c r="E11" s="849">
        <v>124345.23879999999</v>
      </c>
      <c r="F11" s="850"/>
      <c r="G11" s="851" t="s">
        <v>10</v>
      </c>
      <c r="H11" s="852">
        <v>0.048</v>
      </c>
      <c r="I11" s="830"/>
    </row>
    <row r="12" spans="1:9" ht="13.5" thickBot="1">
      <c r="A12" s="896"/>
      <c r="B12" s="721"/>
      <c r="C12" s="97"/>
      <c r="D12" s="623" t="s">
        <v>135</v>
      </c>
      <c r="E12" s="849">
        <v>158832.25488000014</v>
      </c>
      <c r="F12" s="850"/>
      <c r="G12" s="260" t="s">
        <v>91</v>
      </c>
      <c r="H12" s="864">
        <f>SUM(H6:H11)</f>
        <v>1.0000000000000002</v>
      </c>
      <c r="I12" s="727"/>
    </row>
    <row r="13" spans="1:8" ht="12.75">
      <c r="A13" s="896"/>
      <c r="B13" s="721"/>
      <c r="C13" s="97"/>
      <c r="D13" s="623" t="s">
        <v>134</v>
      </c>
      <c r="E13" s="849">
        <v>14082.283099999997</v>
      </c>
      <c r="F13" s="850"/>
      <c r="G13" s="288"/>
      <c r="H13" s="288"/>
    </row>
    <row r="14" spans="1:8" ht="12.75">
      <c r="A14" s="737" t="s">
        <v>199</v>
      </c>
      <c r="B14" s="888">
        <v>4989415</v>
      </c>
      <c r="C14" s="97"/>
      <c r="D14" s="623" t="s">
        <v>162</v>
      </c>
      <c r="E14" s="849">
        <v>25025.559100000002</v>
      </c>
      <c r="F14" s="850"/>
      <c r="G14" s="288"/>
      <c r="H14" s="288"/>
    </row>
    <row r="15" spans="1:8" ht="12.75">
      <c r="A15" s="618"/>
      <c r="B15" s="888"/>
      <c r="C15" s="97"/>
      <c r="D15" s="623" t="s">
        <v>5</v>
      </c>
      <c r="E15" s="849">
        <v>5819.7309000000005</v>
      </c>
      <c r="F15" s="850"/>
      <c r="G15" s="853"/>
      <c r="H15" s="854"/>
    </row>
    <row r="16" spans="1:8" ht="12.75">
      <c r="A16" s="621" t="s">
        <v>13</v>
      </c>
      <c r="B16" s="889">
        <f>+SUM(B14)</f>
        <v>4989415</v>
      </c>
      <c r="C16" s="97"/>
      <c r="D16" s="623" t="s">
        <v>136</v>
      </c>
      <c r="E16" s="849">
        <v>55151.04820000002</v>
      </c>
      <c r="F16" s="850"/>
      <c r="G16" s="288"/>
      <c r="H16" s="854"/>
    </row>
    <row r="17" spans="1:8" ht="12.75">
      <c r="A17" s="737"/>
      <c r="B17" s="888"/>
      <c r="C17" s="97"/>
      <c r="D17" s="623" t="s">
        <v>137</v>
      </c>
      <c r="E17" s="849">
        <v>26282.954300000012</v>
      </c>
      <c r="F17" s="850"/>
      <c r="G17" s="853"/>
      <c r="H17" s="288"/>
    </row>
    <row r="18" spans="1:8" ht="12.75">
      <c r="A18" s="737"/>
      <c r="B18" s="888"/>
      <c r="C18" s="97"/>
      <c r="D18" s="623" t="s">
        <v>6</v>
      </c>
      <c r="E18" s="849">
        <v>47050.71125999996</v>
      </c>
      <c r="F18" s="850"/>
      <c r="G18" s="853"/>
      <c r="H18" s="288"/>
    </row>
    <row r="19" spans="1:8" ht="12.75">
      <c r="A19" s="114" t="s">
        <v>60</v>
      </c>
      <c r="B19" s="892"/>
      <c r="C19" s="97"/>
      <c r="D19" s="623" t="s">
        <v>175</v>
      </c>
      <c r="E19" s="849">
        <v>23209.35430000001</v>
      </c>
      <c r="F19" s="850"/>
      <c r="G19" s="853"/>
      <c r="H19" s="288"/>
    </row>
    <row r="20" spans="1:8" ht="12.75">
      <c r="A20" s="619" t="s">
        <v>29</v>
      </c>
      <c r="B20" s="897">
        <f>'Sheet 4 Fee Schedule'!I8</f>
        <v>6336922.232520001</v>
      </c>
      <c r="C20" s="97"/>
      <c r="D20" s="623" t="s">
        <v>7</v>
      </c>
      <c r="E20" s="849">
        <v>14358.148700000002</v>
      </c>
      <c r="F20" s="850"/>
      <c r="G20" s="853"/>
      <c r="H20" s="288"/>
    </row>
    <row r="21" spans="1:8" ht="13.5" thickBot="1">
      <c r="A21" s="620" t="s">
        <v>49</v>
      </c>
      <c r="B21" s="893">
        <v>0</v>
      </c>
      <c r="C21" s="97"/>
      <c r="D21" s="623" t="s">
        <v>8</v>
      </c>
      <c r="E21" s="849">
        <v>67892.36389999995</v>
      </c>
      <c r="F21" s="850"/>
      <c r="G21" s="853"/>
      <c r="H21" s="288"/>
    </row>
    <row r="22" spans="3:8" ht="13.5" thickBot="1">
      <c r="C22" s="97"/>
      <c r="D22" s="623" t="s">
        <v>94</v>
      </c>
      <c r="E22" s="849">
        <v>40547.929099999994</v>
      </c>
      <c r="F22" s="850"/>
      <c r="G22" s="853"/>
      <c r="H22" s="288"/>
    </row>
    <row r="23" spans="1:8" ht="12.75">
      <c r="A23" s="831" t="s">
        <v>188</v>
      </c>
      <c r="B23" s="832">
        <f>+B5-B20-B24</f>
        <v>88045211.66971645</v>
      </c>
      <c r="C23" s="97"/>
      <c r="D23" s="623" t="s">
        <v>95</v>
      </c>
      <c r="E23" s="849">
        <v>3545.7201000000005</v>
      </c>
      <c r="F23" s="850"/>
      <c r="G23" s="853"/>
      <c r="H23" s="288"/>
    </row>
    <row r="24" spans="1:8" ht="13.5" thickBot="1">
      <c r="A24" s="833" t="s">
        <v>189</v>
      </c>
      <c r="B24" s="834">
        <f>(B5-B20)*0.05</f>
        <v>4633958.508932444</v>
      </c>
      <c r="C24" s="97"/>
      <c r="D24" s="623" t="s">
        <v>96</v>
      </c>
      <c r="E24" s="849">
        <v>3489.2273</v>
      </c>
      <c r="F24" s="850"/>
      <c r="G24" s="853"/>
      <c r="H24" s="288"/>
    </row>
    <row r="25" spans="3:8" ht="12.75">
      <c r="C25" s="97"/>
      <c r="D25" s="623" t="s">
        <v>97</v>
      </c>
      <c r="E25" s="849">
        <v>20417.4546</v>
      </c>
      <c r="F25" s="850"/>
      <c r="G25" s="853"/>
      <c r="H25" s="288"/>
    </row>
    <row r="26" spans="3:8" ht="12.75">
      <c r="C26" s="97"/>
      <c r="D26" s="623" t="s">
        <v>82</v>
      </c>
      <c r="E26" s="849">
        <v>4521.197800000001</v>
      </c>
      <c r="F26" s="850"/>
      <c r="G26" s="853"/>
      <c r="H26" s="288"/>
    </row>
    <row r="27" spans="3:8" ht="12.75">
      <c r="C27" s="97"/>
      <c r="D27" s="623" t="s">
        <v>109</v>
      </c>
      <c r="E27" s="849">
        <v>74521.64289999999</v>
      </c>
      <c r="F27" s="850"/>
      <c r="G27" s="853"/>
      <c r="H27" s="288"/>
    </row>
    <row r="28" spans="4:8" ht="13.5" thickBot="1">
      <c r="D28" s="623" t="s">
        <v>53</v>
      </c>
      <c r="E28" s="849">
        <v>21845.4069</v>
      </c>
      <c r="F28" s="850"/>
      <c r="G28" s="853"/>
      <c r="H28" s="288"/>
    </row>
    <row r="29" spans="4:7" ht="13.5" thickBot="1">
      <c r="D29" s="801" t="s">
        <v>13</v>
      </c>
      <c r="E29" s="802">
        <f>+SUM(E6:E28)</f>
        <v>1106617.5726200002</v>
      </c>
      <c r="G29" s="795"/>
    </row>
    <row r="30" ht="12.75">
      <c r="G30" s="795"/>
    </row>
    <row r="31" spans="4:7" ht="12.75">
      <c r="D31"/>
      <c r="E31"/>
      <c r="F31"/>
      <c r="G31" s="795"/>
    </row>
    <row r="32" spans="4:7" ht="12.75">
      <c r="D32"/>
      <c r="G32" s="795"/>
    </row>
    <row r="33" spans="4:7" ht="12.75">
      <c r="D33"/>
      <c r="G33" s="795"/>
    </row>
    <row r="34" spans="4:7" ht="12.75">
      <c r="D34"/>
      <c r="G34" s="795"/>
    </row>
    <row r="35" spans="4:7" ht="12.75">
      <c r="D35"/>
      <c r="G35" s="795"/>
    </row>
    <row r="36" spans="4:7" ht="12.75">
      <c r="D36"/>
      <c r="G36" s="795"/>
    </row>
    <row r="37" spans="4:7" ht="12.75">
      <c r="D37"/>
      <c r="G37" s="795"/>
    </row>
    <row r="38" spans="4:7" ht="12.75">
      <c r="D38"/>
      <c r="G38" s="795"/>
    </row>
    <row r="39" spans="4:7" ht="12.75">
      <c r="D39"/>
      <c r="G39" s="795"/>
    </row>
    <row r="40" spans="4:8" ht="12.75">
      <c r="D40"/>
      <c r="G40" s="795"/>
      <c r="H40"/>
    </row>
    <row r="41" spans="4:8" ht="12.75">
      <c r="D41"/>
      <c r="G41" s="795"/>
      <c r="H41"/>
    </row>
    <row r="42" ht="12.75">
      <c r="D42"/>
    </row>
    <row r="43" ht="12.75">
      <c r="D43"/>
    </row>
    <row r="44" spans="2:4" ht="12.75">
      <c r="B44" s="280"/>
      <c r="D44"/>
    </row>
    <row r="45" ht="12.75">
      <c r="D45"/>
    </row>
    <row r="72" ht="12.75">
      <c r="D72"/>
    </row>
    <row r="73" ht="12.75">
      <c r="D73"/>
    </row>
    <row r="74" spans="4:7" ht="12.75">
      <c r="D74"/>
      <c r="E74"/>
      <c r="F74"/>
      <c r="G74"/>
    </row>
    <row r="75" spans="4:7" ht="12.75">
      <c r="D75"/>
      <c r="E75"/>
      <c r="F75"/>
      <c r="G75"/>
    </row>
    <row r="76" spans="4:7" ht="12.75">
      <c r="D76"/>
      <c r="E76"/>
      <c r="F76"/>
      <c r="G76"/>
    </row>
  </sheetData>
  <sheetProtection password="D6C3" sheet="1"/>
  <mergeCells count="2">
    <mergeCell ref="G4:H4"/>
    <mergeCell ref="A2:H2"/>
  </mergeCells>
  <printOptions/>
  <pageMargins left="0.7480314960629921" right="0.7480314960629921" top="0.984251968503937" bottom="0.984251968503937" header="0.5118110236220472" footer="0.5118110236220472"/>
  <pageSetup fitToHeight="1" fitToWidth="1" horizontalDpi="600" verticalDpi="600" orientation="landscape" scale="71" r:id="rId3"/>
  <headerFooter alignWithMargins="0">
    <oddFooter>&amp;L&amp;12Steward Fee-Setting&amp;R&amp;12Stewardship Ontario, 
November, 2013</oddFooter>
  </headerFooter>
  <legacy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A1:G43"/>
  <sheetViews>
    <sheetView showGridLines="0" zoomScale="85" zoomScaleNormal="85" zoomScalePageLayoutView="0" workbookViewId="0" topLeftCell="A1">
      <selection activeCell="B13" sqref="B13"/>
    </sheetView>
  </sheetViews>
  <sheetFormatPr defaultColWidth="9.140625" defaultRowHeight="12.75"/>
  <cols>
    <col min="1" max="1" width="36.57421875" style="2" customWidth="1"/>
    <col min="2" max="3" width="14.28125" style="2" customWidth="1"/>
    <col min="4" max="4" width="8.57421875" style="295" customWidth="1"/>
    <col min="5" max="6" width="14.28125" style="2" customWidth="1"/>
    <col min="7" max="7" width="9.00390625" style="2" customWidth="1"/>
    <col min="8" max="16384" width="9.140625" style="2" customWidth="1"/>
  </cols>
  <sheetData>
    <row r="1" spans="1:6" ht="26.25">
      <c r="A1" s="424" t="s">
        <v>93</v>
      </c>
      <c r="E1" s="99"/>
      <c r="F1" s="99"/>
    </row>
    <row r="2" ht="16.5" thickBot="1">
      <c r="A2" s="567"/>
    </row>
    <row r="3" spans="1:2" ht="16.5" customHeight="1">
      <c r="A3" s="566" t="s">
        <v>105</v>
      </c>
      <c r="B3" s="622" t="s">
        <v>90</v>
      </c>
    </row>
    <row r="4" spans="1:3" ht="16.5" customHeight="1">
      <c r="A4" s="623" t="s">
        <v>86</v>
      </c>
      <c r="B4" s="847">
        <v>35</v>
      </c>
      <c r="C4" s="567"/>
    </row>
    <row r="5" spans="1:2" ht="16.5" customHeight="1">
      <c r="A5" s="623" t="s">
        <v>87</v>
      </c>
      <c r="B5" s="847">
        <v>40</v>
      </c>
    </row>
    <row r="6" spans="1:2" ht="16.5" customHeight="1">
      <c r="A6" s="623" t="s">
        <v>88</v>
      </c>
      <c r="B6" s="847">
        <v>25</v>
      </c>
    </row>
    <row r="7" spans="1:2" ht="16.5" customHeight="1" thickBot="1">
      <c r="A7" s="624" t="s">
        <v>89</v>
      </c>
      <c r="B7" s="848">
        <v>60</v>
      </c>
    </row>
    <row r="8" spans="1:2" ht="12.75">
      <c r="A8" s="5"/>
      <c r="B8" s="732"/>
    </row>
    <row r="9" ht="13.5" thickBot="1">
      <c r="G9" s="292"/>
    </row>
    <row r="10" spans="1:7" ht="47.25" customHeight="1">
      <c r="A10" s="768" t="s">
        <v>15</v>
      </c>
      <c r="B10" s="901" t="s">
        <v>184</v>
      </c>
      <c r="C10" s="902"/>
      <c r="D10" s="770"/>
      <c r="E10" s="903" t="s">
        <v>185</v>
      </c>
      <c r="F10" s="902"/>
      <c r="G10" s="292"/>
    </row>
    <row r="11" spans="1:7" s="304" customFormat="1" ht="25.5">
      <c r="A11" s="769"/>
      <c r="B11" s="766" t="s">
        <v>125</v>
      </c>
      <c r="C11" s="712" t="s">
        <v>126</v>
      </c>
      <c r="D11" s="708"/>
      <c r="E11" s="709" t="s">
        <v>101</v>
      </c>
      <c r="F11" s="712" t="s">
        <v>102</v>
      </c>
      <c r="G11" s="626"/>
    </row>
    <row r="12" spans="1:7" ht="12.75">
      <c r="A12" s="629"/>
      <c r="B12" s="767" t="s">
        <v>58</v>
      </c>
      <c r="C12" s="104" t="s">
        <v>58</v>
      </c>
      <c r="D12" s="9"/>
      <c r="E12" s="710" t="s">
        <v>17</v>
      </c>
      <c r="F12" s="104" t="s">
        <v>17</v>
      </c>
      <c r="G12" s="292"/>
    </row>
    <row r="13" spans="1:7" ht="12.75">
      <c r="A13" s="623" t="s">
        <v>83</v>
      </c>
      <c r="B13" s="414">
        <v>217374.8181059666</v>
      </c>
      <c r="C13" s="842">
        <v>203689.2709997873</v>
      </c>
      <c r="D13" s="415"/>
      <c r="E13" s="843">
        <v>173.28806981228675</v>
      </c>
      <c r="F13" s="844">
        <v>87.94679163272701</v>
      </c>
      <c r="G13" s="292"/>
    </row>
    <row r="14" spans="1:7" ht="12.75">
      <c r="A14" s="623" t="s">
        <v>64</v>
      </c>
      <c r="B14" s="414">
        <v>148405.38073137644</v>
      </c>
      <c r="C14" s="842">
        <v>139062.03154996553</v>
      </c>
      <c r="D14" s="415"/>
      <c r="E14" s="845">
        <v>173.28806981228675</v>
      </c>
      <c r="F14" s="844">
        <v>87.94679163272701</v>
      </c>
      <c r="G14" s="292"/>
    </row>
    <row r="15" spans="1:7" ht="12.75">
      <c r="A15" s="623" t="s">
        <v>3</v>
      </c>
      <c r="B15" s="414">
        <v>78908.18383801452</v>
      </c>
      <c r="C15" s="842">
        <v>61776.102223864626</v>
      </c>
      <c r="D15" s="415"/>
      <c r="E15" s="845">
        <v>173.28806981228675</v>
      </c>
      <c r="F15" s="844">
        <v>87.94679163272701</v>
      </c>
      <c r="G15" s="292"/>
    </row>
    <row r="16" spans="1:7" ht="12.75">
      <c r="A16" s="623" t="s">
        <v>1</v>
      </c>
      <c r="B16" s="414">
        <v>8328.916240312668</v>
      </c>
      <c r="C16" s="842">
        <v>7967.842398026822</v>
      </c>
      <c r="D16" s="415"/>
      <c r="E16" s="845">
        <v>210.88693397004502</v>
      </c>
      <c r="F16" s="844">
        <v>91.6106732193739</v>
      </c>
      <c r="G16" s="793"/>
    </row>
    <row r="17" spans="1:7" ht="12.75">
      <c r="A17" s="623" t="s">
        <v>2</v>
      </c>
      <c r="B17" s="414">
        <v>128244.95237551829</v>
      </c>
      <c r="C17" s="842">
        <v>57949.176957380616</v>
      </c>
      <c r="D17" s="415"/>
      <c r="E17" s="845">
        <v>185.31137655950542</v>
      </c>
      <c r="F17" s="844">
        <v>89.03990563260801</v>
      </c>
      <c r="G17" s="292"/>
    </row>
    <row r="18" spans="1:7" ht="12.75">
      <c r="A18" s="623"/>
      <c r="B18" s="414"/>
      <c r="C18" s="842"/>
      <c r="D18" s="415"/>
      <c r="E18" s="845"/>
      <c r="F18" s="844"/>
      <c r="G18" s="292"/>
    </row>
    <row r="19" spans="1:7" ht="12.75">
      <c r="A19" s="623" t="s">
        <v>133</v>
      </c>
      <c r="B19" s="414">
        <v>169360.64246157563</v>
      </c>
      <c r="C19" s="842">
        <v>144539.0381098868</v>
      </c>
      <c r="D19" s="415"/>
      <c r="E19" s="845">
        <v>482.51607674717894</v>
      </c>
      <c r="F19" s="844">
        <v>117.83776488663219</v>
      </c>
      <c r="G19" s="786"/>
    </row>
    <row r="20" spans="1:7" ht="12.75">
      <c r="A20" s="623" t="s">
        <v>135</v>
      </c>
      <c r="B20" s="414">
        <v>163987.51376088095</v>
      </c>
      <c r="C20" s="842">
        <v>67997.7963242471</v>
      </c>
      <c r="D20" s="415"/>
      <c r="E20" s="845">
        <v>287.6713607196754</v>
      </c>
      <c r="F20" s="844">
        <v>88.71354032234366</v>
      </c>
      <c r="G20" s="292"/>
    </row>
    <row r="21" spans="1:7" ht="12.75">
      <c r="A21" s="623" t="s">
        <v>134</v>
      </c>
      <c r="B21" s="414">
        <v>14248.79104098872</v>
      </c>
      <c r="C21" s="842">
        <v>6833.153614095236</v>
      </c>
      <c r="D21" s="415"/>
      <c r="E21" s="845">
        <v>1170.5998904010419</v>
      </c>
      <c r="F21" s="844">
        <v>97.93430386907993</v>
      </c>
      <c r="G21" s="292"/>
    </row>
    <row r="22" spans="1:7" ht="12.75">
      <c r="A22" s="623" t="s">
        <v>162</v>
      </c>
      <c r="B22" s="414">
        <v>39205.144140545424</v>
      </c>
      <c r="C22" s="842">
        <v>1264.1135402506993</v>
      </c>
      <c r="D22" s="415"/>
      <c r="E22" s="845">
        <v>960.4760676349666</v>
      </c>
      <c r="F22" s="844">
        <v>0</v>
      </c>
      <c r="G22" s="292"/>
    </row>
    <row r="23" spans="1:7" ht="12.75">
      <c r="A23" s="623" t="s">
        <v>5</v>
      </c>
      <c r="B23" s="414">
        <v>5819.7309000000005</v>
      </c>
      <c r="C23" s="842">
        <v>954.629199185207</v>
      </c>
      <c r="D23" s="415"/>
      <c r="E23" s="845">
        <v>960.4760676349666</v>
      </c>
      <c r="F23" s="844">
        <v>95.91008579968701</v>
      </c>
      <c r="G23" s="292"/>
    </row>
    <row r="24" spans="1:7" ht="12.75">
      <c r="A24" s="623"/>
      <c r="B24" s="414"/>
      <c r="C24" s="842"/>
      <c r="D24" s="415"/>
      <c r="E24" s="845"/>
      <c r="F24" s="844"/>
      <c r="G24" s="292"/>
    </row>
    <row r="25" spans="1:7" ht="12.75">
      <c r="A25" s="623" t="s">
        <v>136</v>
      </c>
      <c r="B25" s="414">
        <v>56847.71114452727</v>
      </c>
      <c r="C25" s="842">
        <v>32700.66352003424</v>
      </c>
      <c r="D25" s="415"/>
      <c r="E25" s="845">
        <v>1280.5498078769906</v>
      </c>
      <c r="F25" s="844">
        <v>425.2337270903982</v>
      </c>
      <c r="G25" s="292"/>
    </row>
    <row r="26" spans="1:7" ht="12.75">
      <c r="A26" s="623" t="s">
        <v>137</v>
      </c>
      <c r="B26" s="414">
        <v>27597.63419249468</v>
      </c>
      <c r="C26" s="842">
        <v>16408.752630162984</v>
      </c>
      <c r="D26" s="415"/>
      <c r="E26" s="845">
        <v>1196.369996930612</v>
      </c>
      <c r="F26" s="844">
        <v>473.77655925431907</v>
      </c>
      <c r="G26" s="292"/>
    </row>
    <row r="27" spans="1:7" ht="12.75">
      <c r="A27" s="623" t="s">
        <v>6</v>
      </c>
      <c r="B27" s="414">
        <v>54382.762759131</v>
      </c>
      <c r="C27" s="842">
        <v>4923.313606858241</v>
      </c>
      <c r="D27" s="415"/>
      <c r="E27" s="845">
        <v>1894.7374204666583</v>
      </c>
      <c r="F27" s="844">
        <v>33.16249427998824</v>
      </c>
      <c r="G27" s="292"/>
    </row>
    <row r="28" spans="1:7" ht="12.75">
      <c r="A28" s="623" t="s">
        <v>175</v>
      </c>
      <c r="B28" s="414">
        <v>35391.330642434084</v>
      </c>
      <c r="C28" s="842">
        <v>7.096217400837455</v>
      </c>
      <c r="D28" s="415"/>
      <c r="E28" s="845">
        <v>1894.7374204666583</v>
      </c>
      <c r="F28" s="844">
        <v>0</v>
      </c>
      <c r="G28" s="292"/>
    </row>
    <row r="29" spans="1:7" ht="12" customHeight="1">
      <c r="A29" s="623" t="s">
        <v>7</v>
      </c>
      <c r="B29" s="414">
        <v>21391.001601005108</v>
      </c>
      <c r="C29" s="842">
        <v>1448.4235646125687</v>
      </c>
      <c r="D29" s="415"/>
      <c r="E29" s="845">
        <v>2292.097273666338</v>
      </c>
      <c r="F29" s="844">
        <v>36.66100964832237</v>
      </c>
      <c r="G29" s="292"/>
    </row>
    <row r="30" spans="1:7" ht="12" customHeight="1">
      <c r="A30" s="623" t="s">
        <v>8</v>
      </c>
      <c r="B30" s="414">
        <v>70790.31400025755</v>
      </c>
      <c r="C30" s="842">
        <v>16145.96825794818</v>
      </c>
      <c r="D30" s="415"/>
      <c r="E30" s="845">
        <v>1387.8374770656017</v>
      </c>
      <c r="F30" s="844">
        <v>145.99476229249368</v>
      </c>
      <c r="G30" s="292"/>
    </row>
    <row r="31" spans="1:7" ht="12.75">
      <c r="A31" s="623"/>
      <c r="B31" s="414"/>
      <c r="C31" s="842"/>
      <c r="D31" s="415"/>
      <c r="E31" s="845"/>
      <c r="F31" s="844"/>
      <c r="G31" s="292"/>
    </row>
    <row r="32" spans="1:7" ht="12.75">
      <c r="A32" s="623" t="s">
        <v>94</v>
      </c>
      <c r="B32" s="414">
        <v>45285.535599055846</v>
      </c>
      <c r="C32" s="842">
        <v>29186.730004617035</v>
      </c>
      <c r="D32" s="415"/>
      <c r="E32" s="845">
        <v>352.1542069421263</v>
      </c>
      <c r="F32" s="844">
        <v>262.8868731033518</v>
      </c>
      <c r="G32" s="292"/>
    </row>
    <row r="33" spans="1:7" ht="12.75">
      <c r="A33" s="623" t="s">
        <v>95</v>
      </c>
      <c r="B33" s="414">
        <v>4078.742759046785</v>
      </c>
      <c r="C33" s="842">
        <v>942.2774152606513</v>
      </c>
      <c r="D33" s="415"/>
      <c r="E33" s="845">
        <v>352.1542069421263</v>
      </c>
      <c r="F33" s="844">
        <v>262.8868731033518</v>
      </c>
      <c r="G33" s="292"/>
    </row>
    <row r="34" spans="1:7" ht="12.75">
      <c r="A34" s="623" t="s">
        <v>96</v>
      </c>
      <c r="B34" s="414">
        <v>5072.2719534103435</v>
      </c>
      <c r="C34" s="842">
        <v>695.9209608330104</v>
      </c>
      <c r="D34" s="415"/>
      <c r="E34" s="845">
        <v>352.1542069421263</v>
      </c>
      <c r="F34" s="844">
        <v>262.8868731033518</v>
      </c>
      <c r="G34" s="292"/>
    </row>
    <row r="35" spans="1:7" ht="12.75">
      <c r="A35" s="623"/>
      <c r="B35" s="414"/>
      <c r="C35" s="842"/>
      <c r="D35" s="415"/>
      <c r="E35" s="845"/>
      <c r="F35" s="844"/>
      <c r="G35" s="292"/>
    </row>
    <row r="36" spans="1:7" ht="12.75">
      <c r="A36" s="623" t="s">
        <v>97</v>
      </c>
      <c r="B36" s="414">
        <v>22551.772907542218</v>
      </c>
      <c r="C36" s="842">
        <v>10860.305821831942</v>
      </c>
      <c r="D36" s="415"/>
      <c r="E36" s="845">
        <v>1114.3529197864884</v>
      </c>
      <c r="F36" s="844">
        <v>1400.334818869702</v>
      </c>
      <c r="G36" s="292"/>
    </row>
    <row r="37" spans="1:7" ht="12.75">
      <c r="A37" s="623" t="s">
        <v>82</v>
      </c>
      <c r="B37" s="414">
        <v>4521.197800000001</v>
      </c>
      <c r="C37" s="842">
        <v>347.9534799771227</v>
      </c>
      <c r="D37" s="415"/>
      <c r="E37" s="845">
        <v>1114.3529197864884</v>
      </c>
      <c r="F37" s="844">
        <v>1400.334818869702</v>
      </c>
      <c r="G37" s="292"/>
    </row>
    <row r="38" spans="1:7" ht="12.75">
      <c r="A38" s="623"/>
      <c r="B38" s="414"/>
      <c r="C38" s="842"/>
      <c r="D38" s="415"/>
      <c r="E38" s="845"/>
      <c r="F38" s="844"/>
      <c r="G38" s="292"/>
    </row>
    <row r="39" spans="1:7" ht="12.75">
      <c r="A39" s="623" t="s">
        <v>109</v>
      </c>
      <c r="B39" s="414">
        <v>74521.64289999999</v>
      </c>
      <c r="C39" s="842">
        <v>70014.0891585779</v>
      </c>
      <c r="D39" s="846"/>
      <c r="E39" s="845">
        <v>135.99188182736177</v>
      </c>
      <c r="F39" s="844">
        <v>25.966626964230496</v>
      </c>
      <c r="G39" s="292"/>
    </row>
    <row r="40" spans="1:7" ht="12.75">
      <c r="A40" s="623" t="s">
        <v>53</v>
      </c>
      <c r="B40" s="414">
        <v>25277.373779126276</v>
      </c>
      <c r="C40" s="842">
        <v>17209.738615195434</v>
      </c>
      <c r="D40" s="846"/>
      <c r="E40" s="845">
        <v>125.42501523221166</v>
      </c>
      <c r="F40" s="844">
        <v>20.83737716458192</v>
      </c>
      <c r="G40" s="292"/>
    </row>
    <row r="41" spans="1:7" ht="12.75">
      <c r="A41" s="623"/>
      <c r="B41" s="781"/>
      <c r="C41" s="772"/>
      <c r="E41" s="711"/>
      <c r="F41" s="734"/>
      <c r="G41" s="292"/>
    </row>
    <row r="42" spans="1:6" s="3" customFormat="1" ht="13.5" thickBot="1">
      <c r="A42" s="260" t="s">
        <v>13</v>
      </c>
      <c r="B42" s="803">
        <f>+SUM(B13:B40)</f>
        <v>1421593.3656332106</v>
      </c>
      <c r="C42" s="804">
        <f>+SUM(C13:C40)</f>
        <v>892924.38817</v>
      </c>
      <c r="D42" s="805"/>
      <c r="E42" s="806"/>
      <c r="F42" s="807"/>
    </row>
    <row r="43" ht="12.75">
      <c r="G43" s="292"/>
    </row>
  </sheetData>
  <sheetProtection password="D6C3" sheet="1"/>
  <mergeCells count="2">
    <mergeCell ref="B10:C10"/>
    <mergeCell ref="E10:F10"/>
  </mergeCells>
  <printOptions/>
  <pageMargins left="0.7480314960629921" right="0.7480314960629921" top="0.984251968503937" bottom="0.984251968503937" header="0.5118110236220472" footer="0.5118110236220472"/>
  <pageSetup fitToHeight="1" fitToWidth="1" horizontalDpi="600" verticalDpi="600" orientation="landscape" scale="78" r:id="rId1"/>
  <headerFooter alignWithMargins="0">
    <oddFooter>&amp;L&amp;12Steward Fee-Setting&amp;R&amp;12Stewardship Ontario, 
November, 2013</oddFooter>
  </headerFooter>
</worksheet>
</file>

<file path=xl/worksheets/sheet3.xml><?xml version="1.0" encoding="utf-8"?>
<worksheet xmlns="http://schemas.openxmlformats.org/spreadsheetml/2006/main" xmlns:r="http://schemas.openxmlformats.org/officeDocument/2006/relationships">
  <sheetPr codeName="Sheet5">
    <tabColor indexed="58"/>
    <pageSetUpPr fitToPage="1"/>
  </sheetPr>
  <dimension ref="A1:V100"/>
  <sheetViews>
    <sheetView showGridLines="0" zoomScale="85" zoomScaleNormal="85" zoomScalePageLayoutView="0" workbookViewId="0" topLeftCell="A1">
      <pane xSplit="2" ySplit="5" topLeftCell="C6" activePane="bottomRight" state="frozen"/>
      <selection pane="topLeft" activeCell="E7" sqref="E7"/>
      <selection pane="topRight" activeCell="E7" sqref="E7"/>
      <selection pane="bottomLeft" activeCell="E7" sqref="E7"/>
      <selection pane="bottomRight" activeCell="C6" sqref="C6"/>
    </sheetView>
  </sheetViews>
  <sheetFormatPr defaultColWidth="9.140625" defaultRowHeight="12.75"/>
  <cols>
    <col min="1" max="1" width="23.00390625" style="2" customWidth="1"/>
    <col min="2" max="2" width="30.00390625" style="2" customWidth="1"/>
    <col min="3" max="3" width="11.8515625" style="350" customWidth="1"/>
    <col min="4" max="4" width="10.57421875" style="350" customWidth="1"/>
    <col min="5" max="5" width="10.421875" style="2" customWidth="1"/>
    <col min="6" max="6" width="9.8515625" style="97" customWidth="1"/>
    <col min="7" max="7" width="1.57421875" style="2" customWidth="1"/>
    <col min="8" max="8" width="11.8515625" style="348" customWidth="1"/>
    <col min="9" max="9" width="10.421875" style="97" customWidth="1"/>
    <col min="10" max="10" width="8.140625" style="97" customWidth="1"/>
    <col min="11" max="11" width="9.140625" style="2" customWidth="1"/>
    <col min="12" max="12" width="13.7109375" style="2" bestFit="1" customWidth="1"/>
    <col min="13" max="13" width="8.57421875" style="348" customWidth="1"/>
    <col min="14" max="14" width="7.7109375" style="348" customWidth="1"/>
    <col min="15" max="15" width="9.28125" style="2" customWidth="1"/>
    <col min="16" max="16" width="6.57421875" style="288" customWidth="1"/>
    <col min="17" max="17" width="7.00390625" style="2" customWidth="1"/>
    <col min="18" max="18" width="12.28125" style="2" customWidth="1"/>
    <col min="19" max="19" width="9.140625" style="2" customWidth="1"/>
    <col min="20" max="20" width="7.57421875" style="348" customWidth="1"/>
    <col min="21" max="21" width="6.7109375" style="295" customWidth="1"/>
    <col min="22" max="22" width="7.421875" style="369" customWidth="1"/>
    <col min="23" max="23" width="6.28125" style="2" customWidth="1"/>
    <col min="24" max="16384" width="9.140625" style="2" customWidth="1"/>
  </cols>
  <sheetData>
    <row r="1" spans="1:20" ht="25.5" customHeight="1">
      <c r="A1" s="424" t="s">
        <v>65</v>
      </c>
      <c r="C1" s="1"/>
      <c r="D1" s="1"/>
      <c r="E1" s="1"/>
      <c r="F1" s="1"/>
      <c r="H1" s="292"/>
      <c r="M1" s="292"/>
      <c r="N1" s="292"/>
      <c r="T1" s="292"/>
    </row>
    <row r="2" spans="1:20" ht="16.5" customHeight="1" thickBot="1">
      <c r="A2" s="911"/>
      <c r="B2" s="911"/>
      <c r="C2" s="911"/>
      <c r="D2" s="911"/>
      <c r="E2" s="911"/>
      <c r="F2" s="911"/>
      <c r="G2" s="911"/>
      <c r="H2" s="911"/>
      <c r="I2" s="911"/>
      <c r="J2" s="293"/>
      <c r="L2" s="288"/>
      <c r="M2" s="292"/>
      <c r="N2" s="292"/>
      <c r="T2" s="292"/>
    </row>
    <row r="3" spans="1:22" ht="12.75">
      <c r="A3" s="294"/>
      <c r="B3" s="430"/>
      <c r="C3" s="904">
        <v>2012</v>
      </c>
      <c r="D3" s="905"/>
      <c r="E3" s="905"/>
      <c r="F3" s="905"/>
      <c r="G3" s="905"/>
      <c r="H3" s="905"/>
      <c r="I3" s="906"/>
      <c r="J3" s="9"/>
      <c r="K3" s="438" t="s">
        <v>104</v>
      </c>
      <c r="L3" s="439"/>
      <c r="M3" s="588"/>
      <c r="N3" s="588"/>
      <c r="O3" s="440"/>
      <c r="P3" s="2"/>
      <c r="Q3" s="395"/>
      <c r="T3" s="2"/>
      <c r="U3" s="2"/>
      <c r="V3" s="2"/>
    </row>
    <row r="4" spans="1:17" s="304" customFormat="1" ht="38.25">
      <c r="A4" s="296" t="s">
        <v>19</v>
      </c>
      <c r="B4" s="297" t="s">
        <v>15</v>
      </c>
      <c r="C4" s="298" t="s">
        <v>63</v>
      </c>
      <c r="D4" s="298" t="s">
        <v>67</v>
      </c>
      <c r="E4" s="299" t="s">
        <v>68</v>
      </c>
      <c r="F4" s="300" t="s">
        <v>27</v>
      </c>
      <c r="G4" s="300"/>
      <c r="H4" s="301" t="s">
        <v>69</v>
      </c>
      <c r="I4" s="302" t="s">
        <v>70</v>
      </c>
      <c r="J4" s="303"/>
      <c r="K4" s="441" t="s">
        <v>50</v>
      </c>
      <c r="L4" s="436" t="s">
        <v>51</v>
      </c>
      <c r="M4" s="908" t="s">
        <v>84</v>
      </c>
      <c r="N4" s="909"/>
      <c r="O4" s="910"/>
      <c r="Q4" s="396"/>
    </row>
    <row r="5" spans="1:22" ht="12.75" customHeight="1">
      <c r="A5" s="102"/>
      <c r="B5" s="305"/>
      <c r="C5" s="306" t="s">
        <v>58</v>
      </c>
      <c r="D5" s="103"/>
      <c r="E5" s="306" t="s">
        <v>58</v>
      </c>
      <c r="F5" s="307"/>
      <c r="G5" s="308"/>
      <c r="H5" s="306" t="s">
        <v>58</v>
      </c>
      <c r="I5" s="104"/>
      <c r="J5" s="9"/>
      <c r="K5" s="442" t="s">
        <v>56</v>
      </c>
      <c r="L5" s="312" t="s">
        <v>55</v>
      </c>
      <c r="M5" s="589"/>
      <c r="N5" s="590"/>
      <c r="O5" s="564"/>
      <c r="P5" s="2"/>
      <c r="T5" s="2"/>
      <c r="U5" s="2"/>
      <c r="V5" s="2"/>
    </row>
    <row r="6" spans="1:15" s="3" customFormat="1" ht="15.75">
      <c r="A6" s="10" t="s">
        <v>34</v>
      </c>
      <c r="B6" s="11"/>
      <c r="C6" s="13"/>
      <c r="D6" s="12"/>
      <c r="E6" s="14"/>
      <c r="F6" s="309"/>
      <c r="G6" s="309"/>
      <c r="H6" s="310"/>
      <c r="I6" s="311"/>
      <c r="J6" s="283"/>
      <c r="K6" s="114"/>
      <c r="L6" s="4"/>
      <c r="M6" s="591"/>
      <c r="N6" s="591"/>
      <c r="O6" s="443"/>
    </row>
    <row r="7" spans="1:16" s="3" customFormat="1" ht="15" customHeight="1">
      <c r="A7" s="313"/>
      <c r="B7" s="428" t="s">
        <v>83</v>
      </c>
      <c r="C7" s="474">
        <f>Inputs!B13</f>
        <v>217374.8181059666</v>
      </c>
      <c r="D7" s="635">
        <f aca="true" t="shared" si="0" ref="D7:D12">C7/C$41</f>
        <v>0.1529092800803434</v>
      </c>
      <c r="E7" s="691">
        <f>Inputs!C13</f>
        <v>203689.2709997873</v>
      </c>
      <c r="F7" s="635">
        <f>IF(C7=0,0,E7/C7)</f>
        <v>0.9370417087617396</v>
      </c>
      <c r="G7" s="314"/>
      <c r="H7" s="692">
        <f>C7-E7</f>
        <v>13685.547106179321</v>
      </c>
      <c r="I7" s="693">
        <f aca="true" t="shared" si="1" ref="I7:I12">H7/H$41</f>
        <v>0.02588679814701571</v>
      </c>
      <c r="J7" s="315"/>
      <c r="K7" s="836">
        <v>182.311538461538</v>
      </c>
      <c r="L7" s="316">
        <f>C7*1000/K7</f>
        <v>1192326.1683836093</v>
      </c>
      <c r="M7" s="735">
        <f>(C7/$C$12*$L$44+L7/$L$12*$L$45)*$M$12</f>
        <v>0.06485836146469211</v>
      </c>
      <c r="N7" s="593"/>
      <c r="O7" s="311">
        <f aca="true" t="shared" si="2" ref="O7:O36">M7+N7</f>
        <v>0.06485836146469211</v>
      </c>
      <c r="P7" s="798"/>
    </row>
    <row r="8" spans="1:16" s="3" customFormat="1" ht="15" customHeight="1">
      <c r="A8" s="318"/>
      <c r="B8" s="429" t="s">
        <v>64</v>
      </c>
      <c r="C8" s="694">
        <f>Inputs!B14</f>
        <v>148405.38073137644</v>
      </c>
      <c r="D8" s="695">
        <f t="shared" si="0"/>
        <v>0.10439369254180028</v>
      </c>
      <c r="E8" s="696">
        <f>Inputs!C14</f>
        <v>139062.03154996553</v>
      </c>
      <c r="F8" s="695">
        <f>IF(C8=0,0,E8/C8)</f>
        <v>0.9370417087617396</v>
      </c>
      <c r="G8" s="319"/>
      <c r="H8" s="697">
        <f>C8-E8</f>
        <v>9343.349181410915</v>
      </c>
      <c r="I8" s="698">
        <f t="shared" si="1"/>
        <v>0.01767334490902885</v>
      </c>
      <c r="J8" s="315"/>
      <c r="K8" s="836">
        <v>182.1</v>
      </c>
      <c r="L8" s="316">
        <f>C8*1000/K8</f>
        <v>814966.396108602</v>
      </c>
      <c r="M8" s="735">
        <f>(C8/$C$12*$L$44+L8/$L$12*$L$45)*$M$12</f>
        <v>0.04430889122026331</v>
      </c>
      <c r="N8" s="593"/>
      <c r="O8" s="311">
        <f t="shared" si="2"/>
        <v>0.04430889122026331</v>
      </c>
      <c r="P8" s="798"/>
    </row>
    <row r="9" spans="1:22" ht="15" customHeight="1">
      <c r="A9" s="22"/>
      <c r="B9" s="26" t="s">
        <v>3</v>
      </c>
      <c r="C9" s="694">
        <f>Inputs!B15</f>
        <v>78908.18383801452</v>
      </c>
      <c r="D9" s="695">
        <f t="shared" si="0"/>
        <v>0.055506859940125705</v>
      </c>
      <c r="E9" s="696">
        <f>Inputs!C15</f>
        <v>61776.102223864626</v>
      </c>
      <c r="F9" s="695">
        <f>IF(C9=0,0,E9/C9)</f>
        <v>0.7828858708835673</v>
      </c>
      <c r="G9" s="319"/>
      <c r="H9" s="320">
        <f>C9-E9</f>
        <v>17132.081614149894</v>
      </c>
      <c r="I9" s="321">
        <f t="shared" si="1"/>
        <v>0.03240606569418404</v>
      </c>
      <c r="J9" s="322"/>
      <c r="K9" s="836">
        <v>206.40000000000003</v>
      </c>
      <c r="L9" s="316">
        <f>C9*1000/K9</f>
        <v>382307.09223844233</v>
      </c>
      <c r="M9" s="735">
        <f>(C9/$C$12*$L$44+L9/$L$12*$L$45)*$M$12</f>
        <v>0.021993928426774233</v>
      </c>
      <c r="N9" s="592"/>
      <c r="O9" s="311">
        <f t="shared" si="2"/>
        <v>0.021993928426774233</v>
      </c>
      <c r="P9" s="798"/>
      <c r="Q9" s="3"/>
      <c r="T9" s="2"/>
      <c r="U9" s="2"/>
      <c r="V9" s="2"/>
    </row>
    <row r="10" spans="1:22" ht="15" customHeight="1">
      <c r="A10" s="27"/>
      <c r="B10" s="28" t="s">
        <v>1</v>
      </c>
      <c r="C10" s="694">
        <f>Inputs!B16</f>
        <v>8328.916240312668</v>
      </c>
      <c r="D10" s="695">
        <f t="shared" si="0"/>
        <v>0.005858859812983706</v>
      </c>
      <c r="E10" s="696">
        <f>Inputs!C16</f>
        <v>7967.842398026822</v>
      </c>
      <c r="F10" s="695">
        <f>IF(C10=0,0,E10/C10)</f>
        <v>0.9566481602326341</v>
      </c>
      <c r="G10" s="319"/>
      <c r="H10" s="320">
        <f>C10-E10</f>
        <v>361.0738422858467</v>
      </c>
      <c r="I10" s="321">
        <f t="shared" si="1"/>
        <v>0.0006829866280757388</v>
      </c>
      <c r="J10" s="322"/>
      <c r="K10" s="836">
        <v>206.40000000000003</v>
      </c>
      <c r="L10" s="316">
        <f>C10*1000/K10</f>
        <v>40353.276358104005</v>
      </c>
      <c r="M10" s="735">
        <f>(C10/$C$12*$L$44+L10/$L$12*$L$45)*$M$12</f>
        <v>0.0023215030273423115</v>
      </c>
      <c r="N10" s="592"/>
      <c r="O10" s="311">
        <f t="shared" si="2"/>
        <v>0.0023215030273423115</v>
      </c>
      <c r="P10" s="798"/>
      <c r="Q10" s="3"/>
      <c r="T10" s="2"/>
      <c r="U10" s="2"/>
      <c r="V10" s="2"/>
    </row>
    <row r="11" spans="1:22" ht="15" customHeight="1">
      <c r="A11" s="29"/>
      <c r="B11" s="30" t="s">
        <v>2</v>
      </c>
      <c r="C11" s="699">
        <f>Inputs!B17</f>
        <v>128244.95237551829</v>
      </c>
      <c r="D11" s="700">
        <f t="shared" si="0"/>
        <v>0.09021212076239188</v>
      </c>
      <c r="E11" s="701">
        <f>Inputs!C17</f>
        <v>57949.176957380616</v>
      </c>
      <c r="F11" s="700">
        <f>IF(C11=0,0,E11/C11)</f>
        <v>0.4518632186606278</v>
      </c>
      <c r="G11" s="702"/>
      <c r="H11" s="703">
        <f>C11-E11</f>
        <v>70295.77541813767</v>
      </c>
      <c r="I11" s="704">
        <f t="shared" si="1"/>
        <v>0.13296746814130872</v>
      </c>
      <c r="J11" s="322"/>
      <c r="K11" s="836">
        <v>101.32363636363638</v>
      </c>
      <c r="L11" s="316">
        <f>C11*1000/K11</f>
        <v>1265696.3071801437</v>
      </c>
      <c r="M11" s="735">
        <f>(C11/$C$12*$L$44+L11/$L$12*$L$45)*$M$12</f>
        <v>0.05551731586092804</v>
      </c>
      <c r="N11" s="592"/>
      <c r="O11" s="311">
        <f t="shared" si="2"/>
        <v>0.05551731586092804</v>
      </c>
      <c r="P11" s="798"/>
      <c r="Q11" s="3"/>
      <c r="T11" s="2"/>
      <c r="U11" s="2"/>
      <c r="V11" s="2"/>
    </row>
    <row r="12" spans="1:15" s="3" customFormat="1" ht="15" customHeight="1" thickBot="1">
      <c r="A12" s="31" t="s">
        <v>25</v>
      </c>
      <c r="B12" s="32"/>
      <c r="C12" s="33">
        <f>SUM(C7:C11)</f>
        <v>581262.2512911885</v>
      </c>
      <c r="D12" s="636">
        <f t="shared" si="0"/>
        <v>0.40888081313764496</v>
      </c>
      <c r="E12" s="34">
        <f>SUM(E7:E11)</f>
        <v>470444.4241290249</v>
      </c>
      <c r="F12" s="630">
        <f>E12/C12</f>
        <v>0.8093496921295025</v>
      </c>
      <c r="G12" s="323"/>
      <c r="H12" s="324">
        <f>SUM(H7:H11)</f>
        <v>110817.82716216365</v>
      </c>
      <c r="I12" s="325">
        <f t="shared" si="1"/>
        <v>0.20961666351961308</v>
      </c>
      <c r="J12" s="326"/>
      <c r="K12" s="837"/>
      <c r="L12" s="437">
        <f>SUM(L7:L11)</f>
        <v>3695649.240268901</v>
      </c>
      <c r="M12" s="736">
        <f>Parameters!H6</f>
        <v>0.189</v>
      </c>
      <c r="N12" s="595"/>
      <c r="O12" s="444"/>
    </row>
    <row r="13" spans="1:15" s="55" customFormat="1" ht="5.25" customHeight="1" thickBot="1">
      <c r="A13" s="43"/>
      <c r="B13" s="44"/>
      <c r="C13" s="46"/>
      <c r="D13" s="631"/>
      <c r="E13" s="47"/>
      <c r="F13" s="631"/>
      <c r="G13" s="45"/>
      <c r="H13" s="46"/>
      <c r="I13" s="185"/>
      <c r="J13" s="327"/>
      <c r="K13" s="838"/>
      <c r="L13" s="328"/>
      <c r="M13" s="596"/>
      <c r="N13" s="597"/>
      <c r="O13" s="446"/>
    </row>
    <row r="14" spans="1:15" s="3" customFormat="1" ht="15" customHeight="1">
      <c r="A14" s="329" t="s">
        <v>33</v>
      </c>
      <c r="B14" s="330"/>
      <c r="C14" s="431"/>
      <c r="D14" s="637"/>
      <c r="E14" s="432"/>
      <c r="F14" s="632"/>
      <c r="G14" s="201"/>
      <c r="H14" s="331"/>
      <c r="I14" s="202"/>
      <c r="J14" s="326"/>
      <c r="K14" s="839"/>
      <c r="L14" s="332"/>
      <c r="M14" s="598"/>
      <c r="N14" s="599"/>
      <c r="O14" s="448"/>
    </row>
    <row r="15" spans="1:22" ht="15" customHeight="1">
      <c r="A15" s="22" t="s">
        <v>48</v>
      </c>
      <c r="B15" s="26" t="s">
        <v>133</v>
      </c>
      <c r="C15" s="474">
        <f>Inputs!B19</f>
        <v>169360.64246157563</v>
      </c>
      <c r="D15" s="635">
        <f aca="true" t="shared" si="3" ref="D15:D37">C15/C$41</f>
        <v>0.1191343787582594</v>
      </c>
      <c r="E15" s="705">
        <f>Inputs!C19</f>
        <v>144539.0381098868</v>
      </c>
      <c r="F15" s="635">
        <f>IF(C15=0,0,E15/C15)</f>
        <v>0.8534393588089965</v>
      </c>
      <c r="G15" s="314"/>
      <c r="H15" s="337">
        <f>C15-E15</f>
        <v>24821.604351688817</v>
      </c>
      <c r="I15" s="338">
        <f aca="true" t="shared" si="4" ref="I15:I37">H15/H$41</f>
        <v>0.04695112709430002</v>
      </c>
      <c r="J15" s="322"/>
      <c r="K15" s="836">
        <v>88.01990469416786</v>
      </c>
      <c r="L15" s="316">
        <f>C15*1000/K15</f>
        <v>1924117.5396637</v>
      </c>
      <c r="M15" s="600"/>
      <c r="N15" s="592">
        <f>(C15/$C$20*$L$44+L15/$L$20*$L$45)*$N$20</f>
        <v>0.11532109100937883</v>
      </c>
      <c r="O15" s="311">
        <f>M15+N15</f>
        <v>0.11532109100937883</v>
      </c>
      <c r="P15" s="798"/>
      <c r="Q15" s="55"/>
      <c r="T15" s="2"/>
      <c r="U15" s="2"/>
      <c r="V15" s="2"/>
    </row>
    <row r="16" spans="1:22" ht="15" customHeight="1">
      <c r="A16" s="27"/>
      <c r="B16" s="28" t="s">
        <v>135</v>
      </c>
      <c r="C16" s="694">
        <f>Inputs!B20</f>
        <v>163987.51376088095</v>
      </c>
      <c r="D16" s="695">
        <f t="shared" si="3"/>
        <v>0.11535472641140045</v>
      </c>
      <c r="E16" s="706">
        <f>Inputs!C20</f>
        <v>67997.7963242471</v>
      </c>
      <c r="F16" s="695">
        <f>IF(C16=0,0,E16/C16)</f>
        <v>0.414652279096068</v>
      </c>
      <c r="G16" s="319"/>
      <c r="H16" s="320">
        <f>C16-E16</f>
        <v>95989.71743663384</v>
      </c>
      <c r="I16" s="321">
        <f t="shared" si="4"/>
        <v>0.1815686592718857</v>
      </c>
      <c r="J16" s="322"/>
      <c r="K16" s="836">
        <v>101.60800000000002</v>
      </c>
      <c r="L16" s="316">
        <f>C16*1000/K16</f>
        <v>1613923.2517211332</v>
      </c>
      <c r="M16" s="600"/>
      <c r="N16" s="592">
        <f>(C16/$C$20*$L$44+L16/$L$20*$L$45)*$N$20</f>
        <v>0.10282917627500185</v>
      </c>
      <c r="O16" s="311">
        <f>M16+N16</f>
        <v>0.10282917627500185</v>
      </c>
      <c r="P16" s="798"/>
      <c r="Q16" s="3"/>
      <c r="T16" s="2"/>
      <c r="U16" s="2"/>
      <c r="V16" s="2"/>
    </row>
    <row r="17" spans="1:22" ht="15" customHeight="1">
      <c r="A17" s="27"/>
      <c r="B17" s="28" t="s">
        <v>134</v>
      </c>
      <c r="C17" s="694">
        <f>Inputs!B21</f>
        <v>14248.79104098872</v>
      </c>
      <c r="D17" s="695">
        <f t="shared" si="3"/>
        <v>0.010023113068371687</v>
      </c>
      <c r="E17" s="706">
        <f>Inputs!C21</f>
        <v>6833.153614095236</v>
      </c>
      <c r="F17" s="695">
        <f>IF(C17=0,0,E17/C17)</f>
        <v>0.479560237387065</v>
      </c>
      <c r="G17" s="319"/>
      <c r="H17" s="320">
        <f>C17-E17</f>
        <v>7415.637426893485</v>
      </c>
      <c r="I17" s="321">
        <f t="shared" si="4"/>
        <v>0.014026995611652918</v>
      </c>
      <c r="J17" s="322"/>
      <c r="K17" s="836">
        <v>54.777</v>
      </c>
      <c r="L17" s="316">
        <f>C17*1000/K17</f>
        <v>260123.61102266866</v>
      </c>
      <c r="M17" s="600"/>
      <c r="N17" s="592">
        <f>(C17/$C$20*$L$44+L17/$L$20*$L$45)*$N$20</f>
        <v>0.013185322113261707</v>
      </c>
      <c r="O17" s="311">
        <f t="shared" si="2"/>
        <v>0.013185322113261707</v>
      </c>
      <c r="P17" s="798"/>
      <c r="Q17" s="3"/>
      <c r="T17" s="2"/>
      <c r="U17" s="2"/>
      <c r="V17" s="2"/>
    </row>
    <row r="18" spans="1:22" ht="15" customHeight="1">
      <c r="A18" s="27"/>
      <c r="B18" s="28" t="s">
        <v>162</v>
      </c>
      <c r="C18" s="694">
        <f>Inputs!B22</f>
        <v>39205.144140545424</v>
      </c>
      <c r="D18" s="695">
        <f t="shared" si="3"/>
        <v>0.027578311131947742</v>
      </c>
      <c r="E18" s="706">
        <f>Inputs!C22</f>
        <v>1264.1135402506993</v>
      </c>
      <c r="F18" s="695">
        <f>IF(C18=0,0,E18/C18)</f>
        <v>0.03224356313342489</v>
      </c>
      <c r="G18" s="319"/>
      <c r="H18" s="320">
        <f>C18-E18</f>
        <v>37941.030600294725</v>
      </c>
      <c r="I18" s="321">
        <f t="shared" si="4"/>
        <v>0.07176708340699832</v>
      </c>
      <c r="J18" s="322"/>
      <c r="K18" s="836">
        <v>54.777</v>
      </c>
      <c r="L18" s="316">
        <f>C18*1000/K18</f>
        <v>715722.7329088016</v>
      </c>
      <c r="M18" s="600"/>
      <c r="N18" s="592">
        <f>(C18/$C$20*$L$44+L18/$L$20*$L$45)*$N$20</f>
        <v>0.0362790395692459</v>
      </c>
      <c r="O18" s="311">
        <f t="shared" si="2"/>
        <v>0.0362790395692459</v>
      </c>
      <c r="P18" s="798"/>
      <c r="Q18" s="3"/>
      <c r="T18" s="2"/>
      <c r="U18" s="2"/>
      <c r="V18" s="2"/>
    </row>
    <row r="19" spans="1:22" ht="15" customHeight="1">
      <c r="A19" s="29"/>
      <c r="B19" s="30" t="s">
        <v>5</v>
      </c>
      <c r="C19" s="694">
        <f>Inputs!B23</f>
        <v>5819.7309000000005</v>
      </c>
      <c r="D19" s="695">
        <f t="shared" si="3"/>
        <v>0.004093808427002442</v>
      </c>
      <c r="E19" s="706">
        <f>Inputs!C23</f>
        <v>954.629199185207</v>
      </c>
      <c r="F19" s="695">
        <f>IF(C19=0,0,E19/C19)</f>
        <v>0.16403322002142864</v>
      </c>
      <c r="G19" s="319"/>
      <c r="H19" s="320">
        <f>C19-E19</f>
        <v>4865.101700814794</v>
      </c>
      <c r="I19" s="321">
        <f t="shared" si="4"/>
        <v>0.009202548112733461</v>
      </c>
      <c r="J19" s="322"/>
      <c r="K19" s="836">
        <v>54.777</v>
      </c>
      <c r="L19" s="316">
        <f>C19*1000/K19</f>
        <v>106244.06046333315</v>
      </c>
      <c r="M19" s="600"/>
      <c r="N19" s="592">
        <f>(C19/$C$20*$L$44+L19/$L$20*$L$45)*$N$20</f>
        <v>0.005385371033111721</v>
      </c>
      <c r="O19" s="311">
        <f t="shared" si="2"/>
        <v>0.005385371033111721</v>
      </c>
      <c r="P19" s="798"/>
      <c r="Q19" s="3"/>
      <c r="T19" s="2"/>
      <c r="U19" s="2"/>
      <c r="V19" s="2"/>
    </row>
    <row r="20" spans="1:15" s="3" customFormat="1" ht="15" customHeight="1">
      <c r="A20" s="65" t="s">
        <v>32</v>
      </c>
      <c r="B20" s="11"/>
      <c r="C20" s="13">
        <f>SUM(C15:C19)</f>
        <v>392621.8223039908</v>
      </c>
      <c r="D20" s="638">
        <f t="shared" si="3"/>
        <v>0.27618433779698176</v>
      </c>
      <c r="E20" s="14">
        <f>SUM(E15:E19)</f>
        <v>221588.73078766503</v>
      </c>
      <c r="F20" s="633">
        <f>E20/C20</f>
        <v>0.5643821056286018</v>
      </c>
      <c r="G20" s="333"/>
      <c r="H20" s="334">
        <f>SUM(H15:H19)</f>
        <v>171033.09151632566</v>
      </c>
      <c r="I20" s="335">
        <f t="shared" si="4"/>
        <v>0.32351641349757043</v>
      </c>
      <c r="J20" s="326"/>
      <c r="K20" s="840"/>
      <c r="L20" s="336">
        <f>SUM(L15:L19)</f>
        <v>4620131.1957796365</v>
      </c>
      <c r="M20" s="601"/>
      <c r="N20" s="594">
        <f>Parameters!H7</f>
        <v>0.273</v>
      </c>
      <c r="O20" s="450"/>
    </row>
    <row r="21" spans="1:22" ht="15" customHeight="1">
      <c r="A21" s="22" t="s">
        <v>43</v>
      </c>
      <c r="B21" s="26" t="s">
        <v>136</v>
      </c>
      <c r="C21" s="474">
        <f>Inputs!B25</f>
        <v>56847.71114452727</v>
      </c>
      <c r="D21" s="635">
        <f t="shared" si="3"/>
        <v>0.03998872850620402</v>
      </c>
      <c r="E21" s="705">
        <f>Inputs!C25</f>
        <v>32700.66352003424</v>
      </c>
      <c r="F21" s="635">
        <f aca="true" t="shared" si="5" ref="F21:F26">IF(C21=0,0,E21/C21)</f>
        <v>0.5752327202215306</v>
      </c>
      <c r="G21" s="314"/>
      <c r="H21" s="337">
        <f aca="true" t="shared" si="6" ref="H21:H26">C21-E21</f>
        <v>24147.04762449303</v>
      </c>
      <c r="I21" s="338">
        <f t="shared" si="4"/>
        <v>0.04567517417110673</v>
      </c>
      <c r="J21" s="322"/>
      <c r="K21" s="836">
        <v>27.603</v>
      </c>
      <c r="L21" s="316">
        <f aca="true" t="shared" si="7" ref="L21:L26">C21*1000/K21</f>
        <v>2059475.8230818121</v>
      </c>
      <c r="M21" s="600"/>
      <c r="N21" s="592">
        <f aca="true" t="shared" si="8" ref="N21:N26">(C21/$C$27*$L$44+L21/$L$27*$L$45)*$N$27</f>
        <v>0.08363998219535539</v>
      </c>
      <c r="O21" s="311">
        <f t="shared" si="2"/>
        <v>0.08363998219535539</v>
      </c>
      <c r="P21" s="798"/>
      <c r="Q21" s="3"/>
      <c r="T21" s="2"/>
      <c r="U21" s="2"/>
      <c r="V21" s="2"/>
    </row>
    <row r="22" spans="1:22" ht="15" customHeight="1">
      <c r="A22" s="27"/>
      <c r="B22" s="28" t="s">
        <v>137</v>
      </c>
      <c r="C22" s="694">
        <f>Inputs!B26</f>
        <v>27597.63419249468</v>
      </c>
      <c r="D22" s="695">
        <f t="shared" si="3"/>
        <v>0.019413170361977636</v>
      </c>
      <c r="E22" s="706">
        <f>Inputs!C26</f>
        <v>16408.752630162984</v>
      </c>
      <c r="F22" s="695">
        <f t="shared" si="5"/>
        <v>0.5945709880677175</v>
      </c>
      <c r="G22" s="319"/>
      <c r="H22" s="320">
        <f t="shared" si="6"/>
        <v>11188.881562331695</v>
      </c>
      <c r="I22" s="321">
        <f t="shared" si="4"/>
        <v>0.021164248403643702</v>
      </c>
      <c r="J22" s="322"/>
      <c r="K22" s="836">
        <v>28.6</v>
      </c>
      <c r="L22" s="316">
        <f t="shared" si="7"/>
        <v>964952.2444928209</v>
      </c>
      <c r="M22" s="600"/>
      <c r="N22" s="592">
        <f t="shared" si="8"/>
        <v>0.03974648552128555</v>
      </c>
      <c r="O22" s="311">
        <f t="shared" si="2"/>
        <v>0.03974648552128555</v>
      </c>
      <c r="P22" s="798"/>
      <c r="Q22" s="3"/>
      <c r="T22" s="2"/>
      <c r="U22" s="2"/>
      <c r="V22" s="2"/>
    </row>
    <row r="23" spans="1:22" ht="15" customHeight="1">
      <c r="A23" s="27"/>
      <c r="B23" s="28" t="s">
        <v>6</v>
      </c>
      <c r="C23" s="694">
        <f>Inputs!B27</f>
        <v>54382.762759131</v>
      </c>
      <c r="D23" s="695">
        <f t="shared" si="3"/>
        <v>0.038254794988373954</v>
      </c>
      <c r="E23" s="706">
        <f>Inputs!C27</f>
        <v>4923.313606858241</v>
      </c>
      <c r="F23" s="695">
        <f t="shared" si="5"/>
        <v>0.0905307740370657</v>
      </c>
      <c r="G23" s="319"/>
      <c r="H23" s="320">
        <f t="shared" si="6"/>
        <v>49459.44915227276</v>
      </c>
      <c r="I23" s="321">
        <f t="shared" si="4"/>
        <v>0.09355466513204781</v>
      </c>
      <c r="J23" s="322"/>
      <c r="K23" s="836">
        <v>34.909000000000006</v>
      </c>
      <c r="L23" s="316">
        <f t="shared" si="7"/>
        <v>1557843.6150886875</v>
      </c>
      <c r="M23" s="600"/>
      <c r="N23" s="592">
        <f t="shared" si="8"/>
        <v>0.06986408840662135</v>
      </c>
      <c r="O23" s="311">
        <f t="shared" si="2"/>
        <v>0.06986408840662135</v>
      </c>
      <c r="P23" s="798"/>
      <c r="Q23" s="3"/>
      <c r="T23" s="2"/>
      <c r="U23" s="2"/>
      <c r="V23" s="2"/>
    </row>
    <row r="24" spans="1:22" ht="15" customHeight="1">
      <c r="A24" s="27"/>
      <c r="B24" s="28" t="s">
        <v>175</v>
      </c>
      <c r="C24" s="694">
        <f>Inputs!B28</f>
        <v>35391.330642434084</v>
      </c>
      <c r="D24" s="695">
        <f t="shared" si="3"/>
        <v>0.024895537287957143</v>
      </c>
      <c r="E24" s="706">
        <f>Inputs!C28</f>
        <v>7.096217400837455</v>
      </c>
      <c r="F24" s="695">
        <f t="shared" si="5"/>
        <v>0.00020050722230627617</v>
      </c>
      <c r="G24" s="319"/>
      <c r="H24" s="320">
        <f t="shared" si="6"/>
        <v>35384.234425033246</v>
      </c>
      <c r="I24" s="321">
        <f t="shared" si="4"/>
        <v>0.06693079400047758</v>
      </c>
      <c r="J24" s="322"/>
      <c r="K24" s="836">
        <v>39.150000000000006</v>
      </c>
      <c r="L24" s="316">
        <f t="shared" si="7"/>
        <v>903993.1198578308</v>
      </c>
      <c r="M24" s="600"/>
      <c r="N24" s="592">
        <f t="shared" si="8"/>
        <v>0.04276308134342124</v>
      </c>
      <c r="O24" s="311">
        <f t="shared" si="2"/>
        <v>0.04276308134342124</v>
      </c>
      <c r="P24" s="798"/>
      <c r="Q24" s="3"/>
      <c r="T24" s="2"/>
      <c r="U24" s="2"/>
      <c r="V24" s="2"/>
    </row>
    <row r="25" spans="1:22" ht="15" customHeight="1">
      <c r="A25" s="27"/>
      <c r="B25" s="28" t="s">
        <v>7</v>
      </c>
      <c r="C25" s="694">
        <f>Inputs!B29</f>
        <v>21391.001601005108</v>
      </c>
      <c r="D25" s="695">
        <f t="shared" si="3"/>
        <v>0.015047201343315966</v>
      </c>
      <c r="E25" s="706">
        <f>Inputs!C29</f>
        <v>1448.4235646125687</v>
      </c>
      <c r="F25" s="695">
        <f t="shared" si="5"/>
        <v>0.06771181600699384</v>
      </c>
      <c r="G25" s="319"/>
      <c r="H25" s="320">
        <f t="shared" si="6"/>
        <v>19942.57803639254</v>
      </c>
      <c r="I25" s="321">
        <f t="shared" si="4"/>
        <v>0.03772223997724613</v>
      </c>
      <c r="J25" s="322"/>
      <c r="K25" s="836">
        <v>14.589125</v>
      </c>
      <c r="L25" s="316">
        <f t="shared" si="7"/>
        <v>1466229.2358866695</v>
      </c>
      <c r="M25" s="600"/>
      <c r="N25" s="592">
        <f t="shared" si="8"/>
        <v>0.04848777892005385</v>
      </c>
      <c r="O25" s="311">
        <f t="shared" si="2"/>
        <v>0.04848777892005385</v>
      </c>
      <c r="P25" s="798"/>
      <c r="Q25" s="3"/>
      <c r="T25" s="2"/>
      <c r="U25" s="2"/>
      <c r="V25" s="2"/>
    </row>
    <row r="26" spans="1:22" ht="15" customHeight="1">
      <c r="A26" s="29"/>
      <c r="B26" s="30" t="s">
        <v>8</v>
      </c>
      <c r="C26" s="699">
        <f>Inputs!B30</f>
        <v>70790.31400025755</v>
      </c>
      <c r="D26" s="700">
        <f t="shared" si="3"/>
        <v>0.049796457771682075</v>
      </c>
      <c r="E26" s="707">
        <f>Inputs!C30</f>
        <v>16145.96825794818</v>
      </c>
      <c r="F26" s="700">
        <f t="shared" si="5"/>
        <v>0.22808160248998807</v>
      </c>
      <c r="G26" s="702"/>
      <c r="H26" s="703">
        <f t="shared" si="6"/>
        <v>54644.34574230937</v>
      </c>
      <c r="I26" s="704">
        <f t="shared" si="4"/>
        <v>0.10336211896623354</v>
      </c>
      <c r="J26" s="322"/>
      <c r="K26" s="836">
        <v>28.815000000000005</v>
      </c>
      <c r="L26" s="316">
        <f t="shared" si="7"/>
        <v>2456717.4735470256</v>
      </c>
      <c r="M26" s="600"/>
      <c r="N26" s="592">
        <f t="shared" si="8"/>
        <v>0.1014985836132626</v>
      </c>
      <c r="O26" s="311">
        <f t="shared" si="2"/>
        <v>0.1014985836132626</v>
      </c>
      <c r="P26" s="798"/>
      <c r="Q26" s="3"/>
      <c r="T26" s="2"/>
      <c r="U26" s="2"/>
      <c r="V26" s="2"/>
    </row>
    <row r="27" spans="1:15" s="3" customFormat="1" ht="15" customHeight="1">
      <c r="A27" s="65" t="s">
        <v>22</v>
      </c>
      <c r="B27" s="11"/>
      <c r="C27" s="13">
        <f>SUM(C21:C26)</f>
        <v>266400.7543398497</v>
      </c>
      <c r="D27" s="638">
        <f t="shared" si="3"/>
        <v>0.18739589025951078</v>
      </c>
      <c r="E27" s="14">
        <f>SUM(E21:E26)</f>
        <v>71634.21779701705</v>
      </c>
      <c r="F27" s="633">
        <f>E27/C27</f>
        <v>0.2688964525439469</v>
      </c>
      <c r="G27" s="333"/>
      <c r="H27" s="334">
        <f>SUM(H21:H26)</f>
        <v>194766.53654283265</v>
      </c>
      <c r="I27" s="335">
        <f t="shared" si="4"/>
        <v>0.3684092406507555</v>
      </c>
      <c r="J27" s="326"/>
      <c r="K27" s="840"/>
      <c r="L27" s="336">
        <f>SUM(L21:L26)</f>
        <v>9409211.511954848</v>
      </c>
      <c r="M27" s="601"/>
      <c r="N27" s="602">
        <f>Parameters!H8</f>
        <v>0.386</v>
      </c>
      <c r="O27" s="450"/>
    </row>
    <row r="28" spans="1:22" ht="15" customHeight="1">
      <c r="A28" s="22" t="s">
        <v>44</v>
      </c>
      <c r="B28" s="26" t="s">
        <v>94</v>
      </c>
      <c r="C28" s="474">
        <f>Inputs!B32</f>
        <v>45285.535599055846</v>
      </c>
      <c r="D28" s="635">
        <f t="shared" si="3"/>
        <v>0.03185547758861735</v>
      </c>
      <c r="E28" s="705">
        <f>Inputs!C32</f>
        <v>29186.730004617035</v>
      </c>
      <c r="F28" s="635">
        <f>IF(C28=0,0,E28/C28)</f>
        <v>0.6445044674535227</v>
      </c>
      <c r="G28" s="314"/>
      <c r="H28" s="337">
        <f>C28-E28</f>
        <v>16098.80559443881</v>
      </c>
      <c r="I28" s="338">
        <f t="shared" si="4"/>
        <v>0.030451579874590084</v>
      </c>
      <c r="J28" s="322"/>
      <c r="K28" s="836">
        <v>86.60900000000001</v>
      </c>
      <c r="L28" s="316">
        <f>C28*1000/K28</f>
        <v>522873.3226230051</v>
      </c>
      <c r="M28" s="600"/>
      <c r="N28" s="592">
        <f>(C28/$C$31*$L$44+L28/$L$31*$L$45)*$N$31</f>
        <v>0.04409047548044842</v>
      </c>
      <c r="O28" s="311">
        <f t="shared" si="2"/>
        <v>0.04409047548044842</v>
      </c>
      <c r="P28" s="798"/>
      <c r="Q28" s="3"/>
      <c r="T28" s="2"/>
      <c r="U28" s="2"/>
      <c r="V28" s="2"/>
    </row>
    <row r="29" spans="1:22" ht="15" customHeight="1">
      <c r="A29" s="27"/>
      <c r="B29" s="28" t="s">
        <v>95</v>
      </c>
      <c r="C29" s="694">
        <f>Inputs!B33</f>
        <v>4078.742759046785</v>
      </c>
      <c r="D29" s="695">
        <f t="shared" si="3"/>
        <v>0.002869134632764707</v>
      </c>
      <c r="E29" s="706">
        <f>Inputs!C33</f>
        <v>942.2774152606513</v>
      </c>
      <c r="F29" s="695">
        <f>IF(C29=0,0,E29/C29)</f>
        <v>0.23102153553828544</v>
      </c>
      <c r="G29" s="319"/>
      <c r="H29" s="320">
        <f>C29-E29</f>
        <v>3136.465343786134</v>
      </c>
      <c r="I29" s="321">
        <f t="shared" si="4"/>
        <v>0.005932758450923855</v>
      </c>
      <c r="J29" s="322"/>
      <c r="K29" s="836">
        <v>86.60900000000001</v>
      </c>
      <c r="L29" s="316">
        <f>C29*1000/K29</f>
        <v>47093.75190854051</v>
      </c>
      <c r="M29" s="600"/>
      <c r="N29" s="592">
        <f>(C29/$C$31*$L$44+L29/$L$31*$L$45)*$N$31</f>
        <v>0.003971107004254095</v>
      </c>
      <c r="O29" s="311">
        <f t="shared" si="2"/>
        <v>0.003971107004254095</v>
      </c>
      <c r="P29" s="798"/>
      <c r="Q29" s="3"/>
      <c r="T29" s="2"/>
      <c r="U29" s="2"/>
      <c r="V29" s="2"/>
    </row>
    <row r="30" spans="1:22" ht="15" customHeight="1">
      <c r="A30" s="29"/>
      <c r="B30" s="30" t="s">
        <v>96</v>
      </c>
      <c r="C30" s="699">
        <f>Inputs!B34</f>
        <v>5072.2719534103435</v>
      </c>
      <c r="D30" s="700">
        <f t="shared" si="3"/>
        <v>0.003568018869552783</v>
      </c>
      <c r="E30" s="707">
        <f>Inputs!C34</f>
        <v>695.9209608330104</v>
      </c>
      <c r="F30" s="700">
        <f>IF(C30=0,0,E30/C30)</f>
        <v>0.13720103480751022</v>
      </c>
      <c r="G30" s="702"/>
      <c r="H30" s="703">
        <f>C30-E30</f>
        <v>4376.350992577333</v>
      </c>
      <c r="I30" s="704">
        <f t="shared" si="4"/>
        <v>0.00827805522763416</v>
      </c>
      <c r="J30" s="322"/>
      <c r="K30" s="836">
        <v>86.60900000000001</v>
      </c>
      <c r="L30" s="316">
        <f>C30*1000/K30</f>
        <v>58565.18321895349</v>
      </c>
      <c r="M30" s="600"/>
      <c r="N30" s="592">
        <f>(C30/$C$31*$L$44+L30/$L$31*$L$45)*$N$31</f>
        <v>0.00493841751529748</v>
      </c>
      <c r="O30" s="311">
        <f t="shared" si="2"/>
        <v>0.00493841751529748</v>
      </c>
      <c r="P30" s="798"/>
      <c r="Q30" s="3"/>
      <c r="T30" s="2"/>
      <c r="U30" s="2"/>
      <c r="V30" s="2"/>
    </row>
    <row r="31" spans="1:15" s="3" customFormat="1" ht="15" customHeight="1">
      <c r="A31" s="65" t="s">
        <v>47</v>
      </c>
      <c r="B31" s="11"/>
      <c r="C31" s="13">
        <f>SUM(C28:C30)</f>
        <v>54436.550311512976</v>
      </c>
      <c r="D31" s="638">
        <f t="shared" si="3"/>
        <v>0.038292631090934844</v>
      </c>
      <c r="E31" s="14">
        <f>SUM(E28:E30)</f>
        <v>30824.928380710695</v>
      </c>
      <c r="F31" s="633">
        <f>E31/C31</f>
        <v>0.5662542575588487</v>
      </c>
      <c r="G31" s="333"/>
      <c r="H31" s="334">
        <f>SUM(H28:H30)</f>
        <v>23611.621930802277</v>
      </c>
      <c r="I31" s="335">
        <f t="shared" si="4"/>
        <v>0.0446623935531481</v>
      </c>
      <c r="J31" s="326"/>
      <c r="K31" s="840"/>
      <c r="L31" s="336">
        <f>SUM(L28:L30)</f>
        <v>628532.2577504991</v>
      </c>
      <c r="M31" s="601"/>
      <c r="N31" s="602">
        <f>Parameters!H9</f>
        <v>0.053</v>
      </c>
      <c r="O31" s="450"/>
    </row>
    <row r="32" spans="1:22" ht="15" customHeight="1">
      <c r="A32" s="22" t="s">
        <v>45</v>
      </c>
      <c r="B32" s="26" t="s">
        <v>97</v>
      </c>
      <c r="C32" s="474">
        <f>Inputs!B36</f>
        <v>22551.772907542218</v>
      </c>
      <c r="D32" s="635">
        <f t="shared" si="3"/>
        <v>0.015863729708317214</v>
      </c>
      <c r="E32" s="705">
        <f>Inputs!C36</f>
        <v>10860.305821831942</v>
      </c>
      <c r="F32" s="635">
        <f>IF(C32=0,0,E32/C32)</f>
        <v>0.48157215250246777</v>
      </c>
      <c r="G32" s="314"/>
      <c r="H32" s="337">
        <f>C32-E32</f>
        <v>11691.467085710276</v>
      </c>
      <c r="I32" s="338">
        <f t="shared" si="4"/>
        <v>0.02211491043376737</v>
      </c>
      <c r="J32" s="322"/>
      <c r="K32" s="836">
        <v>34.116</v>
      </c>
      <c r="L32" s="316">
        <f>C32*1000/K32</f>
        <v>661032.1522904859</v>
      </c>
      <c r="M32" s="600"/>
      <c r="N32" s="592">
        <f>(C32/$C$34*$L$44+L32/$L$34*$L$45)*$N$34</f>
        <v>0.04248297797493782</v>
      </c>
      <c r="O32" s="311">
        <f t="shared" si="2"/>
        <v>0.04248297797493782</v>
      </c>
      <c r="P32" s="798"/>
      <c r="Q32" s="3"/>
      <c r="T32" s="2"/>
      <c r="U32" s="2"/>
      <c r="V32" s="2"/>
    </row>
    <row r="33" spans="1:22" ht="15" customHeight="1">
      <c r="A33" s="29"/>
      <c r="B33" s="30" t="s">
        <v>82</v>
      </c>
      <c r="C33" s="699">
        <f>Inputs!B37</f>
        <v>4521.197800000001</v>
      </c>
      <c r="D33" s="700">
        <f t="shared" si="3"/>
        <v>0.003180373452281944</v>
      </c>
      <c r="E33" s="707">
        <f>Inputs!C37</f>
        <v>347.9534799771227</v>
      </c>
      <c r="F33" s="700">
        <f>IF(C33=0,0,E33/C33)</f>
        <v>0.07696046387909032</v>
      </c>
      <c r="G33" s="702"/>
      <c r="H33" s="703">
        <f>C33-E33</f>
        <v>4173.244320022878</v>
      </c>
      <c r="I33" s="704">
        <f t="shared" si="4"/>
        <v>0.007893870262726532</v>
      </c>
      <c r="J33" s="322"/>
      <c r="K33" s="836">
        <v>34.116</v>
      </c>
      <c r="L33" s="316">
        <f>C33*1000/K33</f>
        <v>132524.2642748271</v>
      </c>
      <c r="M33" s="600"/>
      <c r="N33" s="592">
        <f>(C33/$C$34*$L$44+L33/$L$34*$L$45)*$N$34</f>
        <v>0.00851702202506217</v>
      </c>
      <c r="O33" s="311">
        <f t="shared" si="2"/>
        <v>0.00851702202506217</v>
      </c>
      <c r="P33" s="798"/>
      <c r="Q33" s="3"/>
      <c r="T33" s="2"/>
      <c r="U33" s="2"/>
      <c r="V33" s="2"/>
    </row>
    <row r="34" spans="1:15" s="3" customFormat="1" ht="15" customHeight="1">
      <c r="A34" s="65" t="s">
        <v>23</v>
      </c>
      <c r="B34" s="11"/>
      <c r="C34" s="13">
        <f>SUM(C32:C33)</f>
        <v>27072.97070754222</v>
      </c>
      <c r="D34" s="638">
        <f t="shared" si="3"/>
        <v>0.01904410316059916</v>
      </c>
      <c r="E34" s="14">
        <f>SUM(E32:E33)</f>
        <v>11208.259301809065</v>
      </c>
      <c r="F34" s="633">
        <f>E34/C34</f>
        <v>0.41400182576515593</v>
      </c>
      <c r="G34" s="333"/>
      <c r="H34" s="334">
        <f>SUM(H32:H33)</f>
        <v>15864.711405733153</v>
      </c>
      <c r="I34" s="335">
        <f t="shared" si="4"/>
        <v>0.030008780696493903</v>
      </c>
      <c r="J34" s="326"/>
      <c r="K34" s="840"/>
      <c r="L34" s="336">
        <f>SUM(L32:L33)</f>
        <v>793556.416565313</v>
      </c>
      <c r="M34" s="601"/>
      <c r="N34" s="602">
        <f>Parameters!H10</f>
        <v>0.051</v>
      </c>
      <c r="O34" s="450"/>
    </row>
    <row r="35" spans="1:22" ht="15" customHeight="1">
      <c r="A35" s="22" t="s">
        <v>10</v>
      </c>
      <c r="B35" s="26" t="s">
        <v>109</v>
      </c>
      <c r="C35" s="474">
        <f>Inputs!B39</f>
        <v>74521.64289999999</v>
      </c>
      <c r="D35" s="635">
        <f t="shared" si="3"/>
        <v>0.05242120897687669</v>
      </c>
      <c r="E35" s="705">
        <f>Inputs!C39</f>
        <v>70014.0891585779</v>
      </c>
      <c r="F35" s="635">
        <f>IF(C35=0,0,E35/C35)</f>
        <v>0.9395134947914294</v>
      </c>
      <c r="G35" s="314"/>
      <c r="H35" s="337">
        <f>C35-E35</f>
        <v>4507.553741422089</v>
      </c>
      <c r="I35" s="338">
        <f t="shared" si="4"/>
        <v>0.008526230843071867</v>
      </c>
      <c r="J35" s="322"/>
      <c r="K35" s="836">
        <v>500</v>
      </c>
      <c r="L35" s="316">
        <f>C35*1000/K35</f>
        <v>149043.28579999998</v>
      </c>
      <c r="M35" s="600"/>
      <c r="N35" s="592">
        <f>(C35/$C$37*$L$44+L35/$L$37*$L$45)*$N$37</f>
        <v>0.03584242588983509</v>
      </c>
      <c r="O35" s="311">
        <f t="shared" si="2"/>
        <v>0.03584242588983509</v>
      </c>
      <c r="P35" s="798"/>
      <c r="Q35" s="3"/>
      <c r="T35" s="2"/>
      <c r="U35" s="2"/>
      <c r="V35" s="2"/>
    </row>
    <row r="36" spans="1:22" ht="15" customHeight="1">
      <c r="A36" s="27"/>
      <c r="B36" s="28" t="s">
        <v>53</v>
      </c>
      <c r="C36" s="694">
        <f>Inputs!B40</f>
        <v>25277.373779126276</v>
      </c>
      <c r="D36" s="695">
        <f t="shared" si="3"/>
        <v>0.01778101557745182</v>
      </c>
      <c r="E36" s="706">
        <f>Inputs!C40</f>
        <v>17209.738615195434</v>
      </c>
      <c r="F36" s="695">
        <f>IF(C36=0,0,E36/C36)</f>
        <v>0.6808357057016347</v>
      </c>
      <c r="G36" s="319"/>
      <c r="H36" s="320">
        <f>C36-E36</f>
        <v>8067.635163930841</v>
      </c>
      <c r="I36" s="321">
        <f t="shared" si="4"/>
        <v>0.015260277239347307</v>
      </c>
      <c r="J36" s="322"/>
      <c r="K36" s="836">
        <v>500</v>
      </c>
      <c r="L36" s="316">
        <f>C36*1000/K36</f>
        <v>50554.74755825255</v>
      </c>
      <c r="M36" s="600"/>
      <c r="N36" s="592">
        <f>(C36/$C$37*$L$44+L36/$L$37*$L$45)*$N$37</f>
        <v>0.012157574110164908</v>
      </c>
      <c r="O36" s="311">
        <f t="shared" si="2"/>
        <v>0.012157574110164908</v>
      </c>
      <c r="P36" s="798"/>
      <c r="Q36" s="3"/>
      <c r="T36" s="2"/>
      <c r="U36" s="2"/>
      <c r="V36" s="2"/>
    </row>
    <row r="37" spans="1:15" s="3" customFormat="1" ht="15" customHeight="1" thickBot="1">
      <c r="A37" s="65" t="s">
        <v>24</v>
      </c>
      <c r="B37" s="11"/>
      <c r="C37" s="13">
        <f>SUM(C35:C36)</f>
        <v>99799.01667912627</v>
      </c>
      <c r="D37" s="638">
        <f t="shared" si="3"/>
        <v>0.07020222455432851</v>
      </c>
      <c r="E37" s="14">
        <f>SUM(E35:E36)</f>
        <v>87223.82777377334</v>
      </c>
      <c r="F37" s="633">
        <f>E37/C37</f>
        <v>0.873994861634913</v>
      </c>
      <c r="G37" s="333"/>
      <c r="H37" s="334">
        <f>SUM(H35:H36)</f>
        <v>12575.18890535293</v>
      </c>
      <c r="I37" s="335">
        <f t="shared" si="4"/>
        <v>0.023786508082419174</v>
      </c>
      <c r="J37" s="326"/>
      <c r="K37" s="449"/>
      <c r="L37" s="336">
        <f>SUM(L35:L36)</f>
        <v>199598.03335825255</v>
      </c>
      <c r="M37" s="601"/>
      <c r="N37" s="602">
        <f>Parameters!H11</f>
        <v>0.048</v>
      </c>
      <c r="O37" s="221"/>
    </row>
    <row r="38" spans="1:15" s="55" customFormat="1" ht="6" customHeight="1" thickBot="1">
      <c r="A38" s="68"/>
      <c r="B38" s="69"/>
      <c r="C38" s="339"/>
      <c r="D38" s="639"/>
      <c r="E38" s="340"/>
      <c r="F38" s="634"/>
      <c r="G38" s="70"/>
      <c r="H38" s="339"/>
      <c r="I38" s="77"/>
      <c r="J38" s="326"/>
      <c r="K38" s="445"/>
      <c r="L38" s="328"/>
      <c r="M38" s="596"/>
      <c r="N38" s="597"/>
      <c r="O38" s="446"/>
    </row>
    <row r="39" spans="1:15" s="3" customFormat="1" ht="15" customHeight="1" thickBot="1">
      <c r="A39" s="79" t="s">
        <v>35</v>
      </c>
      <c r="B39" s="80"/>
      <c r="C39" s="341">
        <f>C41-C12</f>
        <v>840331.1143420219</v>
      </c>
      <c r="D39" s="640">
        <f>C39/C$41</f>
        <v>0.591119186862355</v>
      </c>
      <c r="E39" s="342">
        <f>E41-E12</f>
        <v>422479.96404097514</v>
      </c>
      <c r="F39" s="633">
        <f>E39/C39</f>
        <v>0.5027541606284285</v>
      </c>
      <c r="G39" s="343"/>
      <c r="H39" s="341">
        <f>H41-H12</f>
        <v>417851.15030104655</v>
      </c>
      <c r="I39" s="41">
        <f>H39/H$41</f>
        <v>0.7903833364803868</v>
      </c>
      <c r="J39" s="326"/>
      <c r="K39" s="447"/>
      <c r="L39" s="808">
        <f>+L37+L34+L31+L27+L20</f>
        <v>15651029.415408548</v>
      </c>
      <c r="M39" s="598"/>
      <c r="N39" s="599"/>
      <c r="O39" s="448"/>
    </row>
    <row r="40" spans="1:15" s="55" customFormat="1" ht="6.75" customHeight="1" thickBot="1">
      <c r="A40" s="68"/>
      <c r="B40" s="69"/>
      <c r="C40" s="339"/>
      <c r="D40" s="639"/>
      <c r="E40" s="340"/>
      <c r="F40" s="634"/>
      <c r="G40" s="118"/>
      <c r="H40" s="344"/>
      <c r="I40" s="119"/>
      <c r="J40" s="327"/>
      <c r="K40" s="445"/>
      <c r="L40" s="328"/>
      <c r="M40" s="596"/>
      <c r="N40" s="597"/>
      <c r="O40" s="446"/>
    </row>
    <row r="41" spans="1:15" s="3" customFormat="1" ht="15" customHeight="1" thickBot="1">
      <c r="A41" s="345" t="s">
        <v>26</v>
      </c>
      <c r="B41" s="32"/>
      <c r="C41" s="33">
        <f>C12+C20+C27+C31+C34+C37</f>
        <v>1421593.3656332104</v>
      </c>
      <c r="D41" s="636">
        <f>C41/C$41</f>
        <v>1</v>
      </c>
      <c r="E41" s="346">
        <f>E12+E20+E27+E31+E34+E37</f>
        <v>892924.38817</v>
      </c>
      <c r="F41" s="630">
        <f>E41/C41</f>
        <v>0.628115190852956</v>
      </c>
      <c r="G41" s="323"/>
      <c r="H41" s="324">
        <f>H12+H20+H27+H31+H34+H37</f>
        <v>528668.9774632102</v>
      </c>
      <c r="I41" s="325">
        <f>H41/$H41</f>
        <v>1</v>
      </c>
      <c r="J41" s="326"/>
      <c r="K41" s="451"/>
      <c r="L41" s="452">
        <f>+L39+L12</f>
        <v>19346678.65567745</v>
      </c>
      <c r="M41" s="603"/>
      <c r="N41" s="603"/>
      <c r="O41" s="565">
        <f>SUM(O7:O36)</f>
        <v>1</v>
      </c>
    </row>
    <row r="42" spans="2:19" ht="15" customHeight="1">
      <c r="B42" s="347"/>
      <c r="C42" s="352"/>
      <c r="D42" s="352"/>
      <c r="K42" s="55"/>
      <c r="L42" s="289"/>
      <c r="M42" s="604"/>
      <c r="N42" s="604"/>
      <c r="O42" s="55"/>
      <c r="P42" s="2"/>
      <c r="R42" s="280"/>
      <c r="S42" s="317"/>
    </row>
    <row r="43" spans="2:19" ht="15" customHeight="1">
      <c r="B43" s="347"/>
      <c r="C43" s="352"/>
      <c r="D43" s="352"/>
      <c r="K43" s="3" t="s">
        <v>57</v>
      </c>
      <c r="L43" s="288"/>
      <c r="M43" s="605"/>
      <c r="N43" s="605"/>
      <c r="O43" s="3"/>
      <c r="P43" s="2"/>
      <c r="R43" s="280"/>
      <c r="S43" s="317"/>
    </row>
    <row r="44" spans="2:19" ht="15" customHeight="1">
      <c r="B44" s="347"/>
      <c r="C44" s="352"/>
      <c r="D44" s="352"/>
      <c r="E44" s="349"/>
      <c r="K44" s="351" t="s">
        <v>14</v>
      </c>
      <c r="L44" s="841">
        <v>0.4</v>
      </c>
      <c r="P44" s="2"/>
      <c r="R44" s="280"/>
      <c r="S44" s="317"/>
    </row>
    <row r="45" spans="2:19" ht="15" customHeight="1">
      <c r="B45" s="347"/>
      <c r="C45" s="352"/>
      <c r="D45" s="352"/>
      <c r="E45" s="352"/>
      <c r="F45" s="425"/>
      <c r="K45" s="351" t="s">
        <v>51</v>
      </c>
      <c r="L45" s="841">
        <v>0.6</v>
      </c>
      <c r="P45" s="2"/>
      <c r="R45" s="280"/>
      <c r="S45" s="349"/>
    </row>
    <row r="46" spans="1:16" ht="15" customHeight="1">
      <c r="A46" s="379"/>
      <c r="B46" s="380"/>
      <c r="C46" s="470"/>
      <c r="D46" s="471"/>
      <c r="E46" s="98"/>
      <c r="F46" s="427"/>
      <c r="I46" s="425"/>
      <c r="K46" s="351"/>
      <c r="L46" s="399"/>
      <c r="P46" s="2"/>
    </row>
    <row r="47" spans="1:16" ht="15" customHeight="1">
      <c r="A47" s="290"/>
      <c r="B47" s="291"/>
      <c r="C47" s="471"/>
      <c r="D47" s="471"/>
      <c r="E47" s="98"/>
      <c r="F47" s="427"/>
      <c r="I47" s="426"/>
      <c r="K47" s="351"/>
      <c r="L47" s="399"/>
      <c r="P47" s="2"/>
    </row>
    <row r="48" spans="1:22" s="351" customFormat="1" ht="15" customHeight="1">
      <c r="A48" s="379"/>
      <c r="B48" s="291"/>
      <c r="C48" s="471"/>
      <c r="D48" s="471"/>
      <c r="E48" s="2"/>
      <c r="F48" s="101"/>
      <c r="H48" s="398"/>
      <c r="I48" s="101"/>
      <c r="J48" s="101"/>
      <c r="K48" s="2"/>
      <c r="L48" s="2"/>
      <c r="M48" s="348"/>
      <c r="N48" s="348"/>
      <c r="O48" s="2"/>
      <c r="T48" s="398"/>
      <c r="U48" s="400"/>
      <c r="V48" s="401"/>
    </row>
    <row r="49" spans="1:22" s="351" customFormat="1" ht="14.25" customHeight="1">
      <c r="A49" s="397"/>
      <c r="B49" s="472"/>
      <c r="C49" s="416"/>
      <c r="D49" s="416"/>
      <c r="E49" s="412"/>
      <c r="G49" s="101"/>
      <c r="I49" s="398"/>
      <c r="J49" s="101"/>
      <c r="L49" s="399"/>
      <c r="M49" s="348"/>
      <c r="N49" s="348"/>
      <c r="O49" s="2"/>
      <c r="P49" s="399"/>
      <c r="T49" s="398"/>
      <c r="U49" s="400"/>
      <c r="V49" s="401"/>
    </row>
    <row r="50" spans="2:22" s="351" customFormat="1" ht="15" customHeight="1">
      <c r="B50" s="406"/>
      <c r="C50" s="413"/>
      <c r="D50" s="413"/>
      <c r="E50" s="404"/>
      <c r="G50" s="101"/>
      <c r="I50" s="398"/>
      <c r="J50" s="101"/>
      <c r="K50" s="907"/>
      <c r="L50" s="907"/>
      <c r="M50" s="907"/>
      <c r="N50" s="907"/>
      <c r="O50" s="907"/>
      <c r="P50" s="399"/>
      <c r="T50" s="398"/>
      <c r="U50" s="400"/>
      <c r="V50" s="401"/>
    </row>
    <row r="51" spans="2:22" s="351" customFormat="1" ht="15" customHeight="1">
      <c r="B51" s="407"/>
      <c r="C51" s="413"/>
      <c r="D51" s="413"/>
      <c r="E51" s="404"/>
      <c r="F51" s="403"/>
      <c r="G51" s="101"/>
      <c r="I51" s="398"/>
      <c r="J51" s="101"/>
      <c r="L51" s="399"/>
      <c r="M51" s="398"/>
      <c r="N51" s="398"/>
      <c r="T51" s="398"/>
      <c r="U51" s="400"/>
      <c r="V51" s="401"/>
    </row>
    <row r="52" spans="2:22" s="351" customFormat="1" ht="15" customHeight="1">
      <c r="B52" s="408"/>
      <c r="C52" s="413"/>
      <c r="D52" s="413"/>
      <c r="E52" s="404"/>
      <c r="G52" s="101"/>
      <c r="I52" s="398"/>
      <c r="J52" s="101"/>
      <c r="K52" s="101"/>
      <c r="M52" s="398"/>
      <c r="N52" s="398"/>
      <c r="T52" s="398"/>
      <c r="U52" s="400"/>
      <c r="V52" s="401"/>
    </row>
    <row r="53" spans="2:22" s="351" customFormat="1" ht="15" customHeight="1">
      <c r="B53" s="407"/>
      <c r="C53" s="413"/>
      <c r="D53" s="473"/>
      <c r="E53" s="405"/>
      <c r="G53" s="101"/>
      <c r="I53" s="398"/>
      <c r="J53" s="101"/>
      <c r="M53" s="398"/>
      <c r="N53" s="398"/>
      <c r="T53" s="398"/>
      <c r="U53" s="400"/>
      <c r="V53" s="401"/>
    </row>
    <row r="54" spans="2:22" s="351" customFormat="1" ht="15" customHeight="1">
      <c r="B54" s="407"/>
      <c r="C54" s="413"/>
      <c r="D54" s="414"/>
      <c r="E54" s="404"/>
      <c r="G54" s="101"/>
      <c r="I54" s="398"/>
      <c r="J54" s="101"/>
      <c r="M54" s="398"/>
      <c r="N54" s="398"/>
      <c r="T54" s="398"/>
      <c r="U54" s="400"/>
      <c r="V54" s="401"/>
    </row>
    <row r="55" spans="2:22" s="351" customFormat="1" ht="15" customHeight="1">
      <c r="B55" s="408"/>
      <c r="C55" s="413"/>
      <c r="D55" s="413"/>
      <c r="E55" s="404"/>
      <c r="G55" s="101"/>
      <c r="I55" s="398"/>
      <c r="J55" s="101"/>
      <c r="M55" s="398"/>
      <c r="N55" s="398"/>
      <c r="T55" s="398"/>
      <c r="U55" s="400"/>
      <c r="V55" s="401"/>
    </row>
    <row r="56" spans="2:22" s="351" customFormat="1" ht="15" customHeight="1">
      <c r="B56" s="409"/>
      <c r="C56" s="413"/>
      <c r="D56" s="413"/>
      <c r="E56" s="404"/>
      <c r="G56" s="101"/>
      <c r="I56" s="398"/>
      <c r="J56" s="101"/>
      <c r="M56" s="398"/>
      <c r="N56" s="398"/>
      <c r="T56" s="398"/>
      <c r="U56" s="400"/>
      <c r="V56" s="401"/>
    </row>
    <row r="57" spans="2:22" s="351" customFormat="1" ht="15" customHeight="1">
      <c r="B57" s="406"/>
      <c r="C57" s="413"/>
      <c r="D57" s="413"/>
      <c r="E57" s="404"/>
      <c r="G57" s="101"/>
      <c r="I57" s="398"/>
      <c r="J57" s="101"/>
      <c r="M57" s="398"/>
      <c r="N57" s="398"/>
      <c r="T57" s="398"/>
      <c r="U57" s="400"/>
      <c r="V57" s="401"/>
    </row>
    <row r="58" spans="2:22" s="351" customFormat="1" ht="15" customHeight="1">
      <c r="B58" s="407"/>
      <c r="C58" s="413"/>
      <c r="D58" s="413"/>
      <c r="E58" s="404"/>
      <c r="G58" s="101"/>
      <c r="I58" s="398"/>
      <c r="J58" s="101"/>
      <c r="M58" s="398"/>
      <c r="N58" s="398"/>
      <c r="T58" s="398"/>
      <c r="U58" s="400"/>
      <c r="V58" s="401"/>
    </row>
    <row r="59" spans="2:22" s="351" customFormat="1" ht="15" customHeight="1">
      <c r="B59" s="408"/>
      <c r="C59" s="413"/>
      <c r="D59" s="413"/>
      <c r="E59" s="404"/>
      <c r="G59" s="101"/>
      <c r="I59" s="398"/>
      <c r="J59" s="101"/>
      <c r="M59" s="398"/>
      <c r="N59" s="398"/>
      <c r="T59" s="398"/>
      <c r="U59" s="400"/>
      <c r="V59" s="401"/>
    </row>
    <row r="60" spans="2:22" s="351" customFormat="1" ht="15" customHeight="1">
      <c r="B60" s="407"/>
      <c r="C60" s="413"/>
      <c r="D60" s="413"/>
      <c r="E60" s="404"/>
      <c r="G60" s="101"/>
      <c r="I60" s="398"/>
      <c r="J60" s="101"/>
      <c r="M60" s="398"/>
      <c r="N60" s="398"/>
      <c r="T60" s="398"/>
      <c r="U60" s="400"/>
      <c r="V60" s="401"/>
    </row>
    <row r="61" spans="2:22" s="351" customFormat="1" ht="15" customHeight="1">
      <c r="B61" s="409"/>
      <c r="C61" s="413"/>
      <c r="D61" s="413"/>
      <c r="E61" s="404"/>
      <c r="G61" s="101"/>
      <c r="I61" s="398"/>
      <c r="J61" s="101"/>
      <c r="K61" s="101"/>
      <c r="M61" s="398"/>
      <c r="N61" s="398"/>
      <c r="T61" s="398"/>
      <c r="U61" s="400"/>
      <c r="V61" s="401"/>
    </row>
    <row r="62" spans="2:22" s="351" customFormat="1" ht="15" customHeight="1">
      <c r="B62" s="408"/>
      <c r="C62" s="413"/>
      <c r="D62" s="413"/>
      <c r="E62" s="404"/>
      <c r="G62" s="101"/>
      <c r="I62" s="398"/>
      <c r="J62" s="101"/>
      <c r="K62" s="101"/>
      <c r="M62" s="398"/>
      <c r="N62" s="398"/>
      <c r="T62" s="398"/>
      <c r="U62" s="400"/>
      <c r="V62" s="401"/>
    </row>
    <row r="63" spans="2:22" s="351" customFormat="1" ht="15" customHeight="1">
      <c r="B63" s="407"/>
      <c r="C63" s="413"/>
      <c r="D63" s="414"/>
      <c r="E63" s="404"/>
      <c r="G63" s="101"/>
      <c r="I63" s="398"/>
      <c r="J63" s="101"/>
      <c r="K63" s="101"/>
      <c r="M63" s="398"/>
      <c r="N63" s="398"/>
      <c r="T63" s="398"/>
      <c r="U63" s="400"/>
      <c r="V63" s="401"/>
    </row>
    <row r="64" spans="2:22" s="351" customFormat="1" ht="15" customHeight="1">
      <c r="B64" s="410"/>
      <c r="C64" s="411"/>
      <c r="D64" s="415"/>
      <c r="E64" s="404"/>
      <c r="G64" s="101"/>
      <c r="I64" s="398"/>
      <c r="J64" s="101"/>
      <c r="K64" s="101"/>
      <c r="M64" s="398"/>
      <c r="N64" s="398"/>
      <c r="T64" s="398"/>
      <c r="U64" s="400"/>
      <c r="V64" s="401"/>
    </row>
    <row r="65" spans="2:22" s="351" customFormat="1" ht="15" customHeight="1">
      <c r="B65" s="407"/>
      <c r="C65" s="413"/>
      <c r="D65" s="414"/>
      <c r="E65" s="405"/>
      <c r="G65" s="101"/>
      <c r="I65" s="398"/>
      <c r="J65" s="101"/>
      <c r="K65" s="101"/>
      <c r="M65" s="398"/>
      <c r="N65" s="398"/>
      <c r="T65" s="398"/>
      <c r="U65" s="400"/>
      <c r="V65" s="401"/>
    </row>
    <row r="66" spans="2:22" s="351" customFormat="1" ht="15" customHeight="1">
      <c r="B66" s="407"/>
      <c r="C66" s="413"/>
      <c r="D66" s="414"/>
      <c r="E66" s="405"/>
      <c r="G66" s="101"/>
      <c r="I66" s="398"/>
      <c r="J66" s="101"/>
      <c r="K66" s="101"/>
      <c r="M66" s="398"/>
      <c r="N66" s="398"/>
      <c r="T66" s="398"/>
      <c r="U66" s="400"/>
      <c r="V66" s="401"/>
    </row>
    <row r="67" spans="2:22" s="351" customFormat="1" ht="15" customHeight="1">
      <c r="B67" s="407"/>
      <c r="C67" s="413"/>
      <c r="D67" s="414"/>
      <c r="E67" s="405"/>
      <c r="G67" s="101"/>
      <c r="I67" s="398"/>
      <c r="J67" s="101"/>
      <c r="K67" s="101"/>
      <c r="M67" s="398"/>
      <c r="N67" s="398"/>
      <c r="T67" s="398"/>
      <c r="U67" s="400"/>
      <c r="V67" s="401"/>
    </row>
    <row r="68" spans="2:22" s="351" customFormat="1" ht="15" customHeight="1">
      <c r="B68" s="410"/>
      <c r="C68" s="413"/>
      <c r="D68" s="415"/>
      <c r="E68" s="405"/>
      <c r="G68" s="101"/>
      <c r="I68" s="398"/>
      <c r="J68" s="101"/>
      <c r="K68" s="101"/>
      <c r="M68" s="398"/>
      <c r="N68" s="398"/>
      <c r="T68" s="398"/>
      <c r="U68" s="400"/>
      <c r="V68" s="401"/>
    </row>
    <row r="69" spans="2:22" s="351" customFormat="1" ht="15" customHeight="1">
      <c r="B69" s="407"/>
      <c r="C69" s="413"/>
      <c r="D69" s="414"/>
      <c r="E69" s="405"/>
      <c r="G69" s="101"/>
      <c r="I69" s="398"/>
      <c r="J69" s="101"/>
      <c r="K69" s="101"/>
      <c r="M69" s="398"/>
      <c r="N69" s="398"/>
      <c r="T69" s="398"/>
      <c r="U69" s="400"/>
      <c r="V69" s="401"/>
    </row>
    <row r="70" spans="2:22" s="351" customFormat="1" ht="15" customHeight="1">
      <c r="B70" s="407"/>
      <c r="C70" s="413"/>
      <c r="D70" s="414"/>
      <c r="E70" s="405"/>
      <c r="G70" s="101"/>
      <c r="I70" s="398"/>
      <c r="J70" s="101"/>
      <c r="K70" s="101"/>
      <c r="M70" s="398"/>
      <c r="N70" s="398"/>
      <c r="T70" s="398"/>
      <c r="U70" s="400"/>
      <c r="V70" s="401"/>
    </row>
    <row r="71" spans="2:22" s="351" customFormat="1" ht="15" customHeight="1">
      <c r="B71" s="407"/>
      <c r="C71" s="413"/>
      <c r="D71" s="414"/>
      <c r="E71" s="405"/>
      <c r="G71" s="101"/>
      <c r="I71" s="398"/>
      <c r="J71" s="101"/>
      <c r="K71" s="101"/>
      <c r="M71" s="398"/>
      <c r="N71" s="398"/>
      <c r="T71" s="398"/>
      <c r="U71" s="400"/>
      <c r="V71" s="401"/>
    </row>
    <row r="72" spans="2:22" s="351" customFormat="1" ht="15" customHeight="1">
      <c r="B72" s="407"/>
      <c r="C72" s="413"/>
      <c r="D72" s="414"/>
      <c r="E72" s="405"/>
      <c r="G72" s="101"/>
      <c r="I72" s="398"/>
      <c r="J72" s="101"/>
      <c r="K72" s="101"/>
      <c r="M72" s="398"/>
      <c r="N72" s="398"/>
      <c r="T72" s="398"/>
      <c r="U72" s="400"/>
      <c r="V72" s="401"/>
    </row>
    <row r="73" spans="2:22" s="351" customFormat="1" ht="15" customHeight="1">
      <c r="B73" s="407"/>
      <c r="C73" s="413"/>
      <c r="D73" s="414"/>
      <c r="E73" s="405"/>
      <c r="G73" s="101"/>
      <c r="I73" s="398"/>
      <c r="J73" s="101"/>
      <c r="K73" s="101"/>
      <c r="M73" s="398"/>
      <c r="N73" s="398"/>
      <c r="T73" s="398"/>
      <c r="U73" s="400"/>
      <c r="V73" s="401"/>
    </row>
    <row r="74" spans="2:22" s="351" customFormat="1" ht="12.75">
      <c r="B74" s="407"/>
      <c r="C74" s="413"/>
      <c r="D74" s="414"/>
      <c r="E74" s="405"/>
      <c r="F74" s="101"/>
      <c r="H74" s="398"/>
      <c r="I74" s="101"/>
      <c r="J74" s="101"/>
      <c r="K74" s="101"/>
      <c r="M74" s="398"/>
      <c r="N74" s="398"/>
      <c r="P74" s="399"/>
      <c r="T74" s="398"/>
      <c r="U74" s="400"/>
      <c r="V74" s="401"/>
    </row>
    <row r="75" spans="3:22" s="351" customFormat="1" ht="12.75">
      <c r="C75" s="402"/>
      <c r="D75" s="404"/>
      <c r="F75" s="101"/>
      <c r="H75" s="398"/>
      <c r="I75" s="101"/>
      <c r="J75" s="101"/>
      <c r="K75" s="101"/>
      <c r="M75" s="398"/>
      <c r="N75" s="398"/>
      <c r="P75" s="399"/>
      <c r="T75" s="398"/>
      <c r="U75" s="400"/>
      <c r="V75" s="401"/>
    </row>
    <row r="76" spans="3:22" s="351" customFormat="1" ht="12.75">
      <c r="C76" s="402"/>
      <c r="D76" s="404"/>
      <c r="F76" s="101"/>
      <c r="H76" s="398"/>
      <c r="I76" s="101"/>
      <c r="J76" s="101"/>
      <c r="M76" s="398"/>
      <c r="N76" s="398"/>
      <c r="P76" s="399"/>
      <c r="T76" s="398"/>
      <c r="U76" s="400"/>
      <c r="V76" s="401"/>
    </row>
    <row r="77" spans="3:22" s="351" customFormat="1" ht="12.75">
      <c r="C77" s="402"/>
      <c r="D77" s="404"/>
      <c r="F77" s="101"/>
      <c r="H77" s="398"/>
      <c r="I77" s="101"/>
      <c r="J77" s="101"/>
      <c r="M77" s="398"/>
      <c r="N77" s="398"/>
      <c r="P77" s="399"/>
      <c r="T77" s="398"/>
      <c r="U77" s="400"/>
      <c r="V77" s="401"/>
    </row>
    <row r="78" spans="3:22" s="351" customFormat="1" ht="12.75">
      <c r="C78" s="402"/>
      <c r="D78" s="404"/>
      <c r="F78" s="101"/>
      <c r="H78" s="398"/>
      <c r="I78" s="101"/>
      <c r="J78" s="101"/>
      <c r="M78" s="398"/>
      <c r="N78" s="398"/>
      <c r="P78" s="399"/>
      <c r="T78" s="398"/>
      <c r="U78" s="400"/>
      <c r="V78" s="401"/>
    </row>
    <row r="79" spans="3:22" s="351" customFormat="1" ht="12.75">
      <c r="C79" s="402"/>
      <c r="D79" s="404"/>
      <c r="F79" s="101"/>
      <c r="H79" s="398"/>
      <c r="I79" s="101"/>
      <c r="J79" s="101"/>
      <c r="M79" s="398"/>
      <c r="N79" s="398"/>
      <c r="P79" s="399"/>
      <c r="T79" s="398"/>
      <c r="U79" s="400"/>
      <c r="V79" s="401"/>
    </row>
    <row r="80" spans="3:22" s="351" customFormat="1" ht="12.75">
      <c r="C80" s="402"/>
      <c r="D80" s="404"/>
      <c r="F80" s="101"/>
      <c r="H80" s="398"/>
      <c r="I80" s="101"/>
      <c r="J80" s="101"/>
      <c r="M80" s="398"/>
      <c r="N80" s="398"/>
      <c r="P80" s="399"/>
      <c r="T80" s="398"/>
      <c r="U80" s="400"/>
      <c r="V80" s="401"/>
    </row>
    <row r="81" spans="3:22" s="351" customFormat="1" ht="12.75">
      <c r="C81" s="402"/>
      <c r="D81" s="404"/>
      <c r="F81" s="101"/>
      <c r="H81" s="398"/>
      <c r="I81" s="101"/>
      <c r="J81" s="101"/>
      <c r="M81" s="398"/>
      <c r="N81" s="398"/>
      <c r="P81" s="399"/>
      <c r="T81" s="398"/>
      <c r="U81" s="400"/>
      <c r="V81" s="401"/>
    </row>
    <row r="82" spans="3:22" s="351" customFormat="1" ht="12.75">
      <c r="C82" s="402"/>
      <c r="D82" s="404"/>
      <c r="F82" s="101"/>
      <c r="H82" s="398"/>
      <c r="I82" s="101"/>
      <c r="J82" s="101"/>
      <c r="M82" s="398"/>
      <c r="N82" s="398"/>
      <c r="P82" s="399"/>
      <c r="T82" s="398"/>
      <c r="U82" s="400"/>
      <c r="V82" s="401"/>
    </row>
    <row r="83" spans="3:22" s="351" customFormat="1" ht="12.75">
      <c r="C83" s="402"/>
      <c r="D83" s="404"/>
      <c r="F83" s="101"/>
      <c r="H83" s="398"/>
      <c r="I83" s="101"/>
      <c r="J83" s="101"/>
      <c r="M83" s="398"/>
      <c r="N83" s="398"/>
      <c r="P83" s="399"/>
      <c r="T83" s="398"/>
      <c r="U83" s="400"/>
      <c r="V83" s="401"/>
    </row>
    <row r="84" spans="3:22" s="351" customFormat="1" ht="12.75">
      <c r="C84" s="402"/>
      <c r="D84" s="404"/>
      <c r="F84" s="101"/>
      <c r="H84" s="398"/>
      <c r="I84" s="101"/>
      <c r="J84" s="101"/>
      <c r="M84" s="398"/>
      <c r="N84" s="398"/>
      <c r="P84" s="399"/>
      <c r="T84" s="398"/>
      <c r="U84" s="400"/>
      <c r="V84" s="401"/>
    </row>
    <row r="85" spans="3:22" s="351" customFormat="1" ht="12.75">
      <c r="C85" s="402"/>
      <c r="D85" s="402"/>
      <c r="F85" s="101"/>
      <c r="H85" s="398"/>
      <c r="I85" s="101"/>
      <c r="J85" s="101"/>
      <c r="M85" s="398"/>
      <c r="N85" s="398"/>
      <c r="P85" s="399"/>
      <c r="T85" s="398"/>
      <c r="U85" s="400"/>
      <c r="V85" s="401"/>
    </row>
    <row r="86" spans="3:22" s="351" customFormat="1" ht="12.75">
      <c r="C86" s="402"/>
      <c r="D86" s="402"/>
      <c r="F86" s="101"/>
      <c r="H86" s="398"/>
      <c r="I86" s="101"/>
      <c r="J86" s="101"/>
      <c r="M86" s="398"/>
      <c r="N86" s="398"/>
      <c r="P86" s="399"/>
      <c r="T86" s="398"/>
      <c r="U86" s="400"/>
      <c r="V86" s="401"/>
    </row>
    <row r="87" spans="3:22" s="351" customFormat="1" ht="12.75">
      <c r="C87" s="402"/>
      <c r="D87" s="402"/>
      <c r="F87" s="101"/>
      <c r="H87" s="398"/>
      <c r="I87" s="101"/>
      <c r="J87" s="101"/>
      <c r="M87" s="398"/>
      <c r="N87" s="398"/>
      <c r="P87" s="399"/>
      <c r="T87" s="398"/>
      <c r="U87" s="400"/>
      <c r="V87" s="401"/>
    </row>
    <row r="88" spans="3:22" s="351" customFormat="1" ht="12.75">
      <c r="C88" s="402"/>
      <c r="D88" s="402"/>
      <c r="F88" s="101"/>
      <c r="H88" s="398"/>
      <c r="I88" s="101"/>
      <c r="J88" s="101"/>
      <c r="M88" s="398"/>
      <c r="N88" s="398"/>
      <c r="P88" s="399"/>
      <c r="T88" s="398"/>
      <c r="U88" s="400"/>
      <c r="V88" s="401"/>
    </row>
    <row r="89" spans="3:22" s="351" customFormat="1" ht="12.75">
      <c r="C89" s="402"/>
      <c r="D89" s="402"/>
      <c r="F89" s="101"/>
      <c r="H89" s="398"/>
      <c r="I89" s="101"/>
      <c r="J89" s="101"/>
      <c r="M89" s="398"/>
      <c r="N89" s="398"/>
      <c r="P89" s="399"/>
      <c r="T89" s="398"/>
      <c r="U89" s="400"/>
      <c r="V89" s="401"/>
    </row>
    <row r="90" spans="3:22" s="351" customFormat="1" ht="12.75">
      <c r="C90" s="402"/>
      <c r="D90" s="402"/>
      <c r="F90" s="101"/>
      <c r="H90" s="398"/>
      <c r="I90" s="101"/>
      <c r="J90" s="101"/>
      <c r="M90" s="398"/>
      <c r="N90" s="398"/>
      <c r="P90" s="399"/>
      <c r="T90" s="398"/>
      <c r="U90" s="400"/>
      <c r="V90" s="401"/>
    </row>
    <row r="91" spans="3:22" s="351" customFormat="1" ht="12.75">
      <c r="C91" s="402"/>
      <c r="D91" s="402"/>
      <c r="F91" s="101"/>
      <c r="H91" s="398"/>
      <c r="I91" s="101"/>
      <c r="J91" s="101"/>
      <c r="M91" s="398"/>
      <c r="N91" s="398"/>
      <c r="P91" s="399"/>
      <c r="T91" s="398"/>
      <c r="U91" s="400"/>
      <c r="V91" s="401"/>
    </row>
    <row r="92" spans="3:22" s="351" customFormat="1" ht="12.75">
      <c r="C92" s="402"/>
      <c r="D92" s="402"/>
      <c r="F92" s="101"/>
      <c r="H92" s="398"/>
      <c r="I92" s="101"/>
      <c r="J92" s="101"/>
      <c r="M92" s="398"/>
      <c r="N92" s="398"/>
      <c r="P92" s="399"/>
      <c r="T92" s="398"/>
      <c r="U92" s="400"/>
      <c r="V92" s="401"/>
    </row>
    <row r="93" spans="3:22" s="351" customFormat="1" ht="12.75">
      <c r="C93" s="402"/>
      <c r="D93" s="402"/>
      <c r="F93" s="101"/>
      <c r="H93" s="398"/>
      <c r="I93" s="101"/>
      <c r="J93" s="101"/>
      <c r="M93" s="398"/>
      <c r="N93" s="398"/>
      <c r="P93" s="399"/>
      <c r="T93" s="398"/>
      <c r="U93" s="400"/>
      <c r="V93" s="401"/>
    </row>
    <row r="94" spans="3:22" s="351" customFormat="1" ht="12.75">
      <c r="C94" s="402"/>
      <c r="D94" s="402"/>
      <c r="F94" s="101"/>
      <c r="H94" s="398"/>
      <c r="I94" s="101"/>
      <c r="J94" s="101"/>
      <c r="M94" s="398"/>
      <c r="N94" s="398"/>
      <c r="P94" s="399"/>
      <c r="T94" s="398"/>
      <c r="U94" s="400"/>
      <c r="V94" s="401"/>
    </row>
    <row r="95" spans="3:22" s="351" customFormat="1" ht="12.75">
      <c r="C95" s="402"/>
      <c r="D95" s="402"/>
      <c r="F95" s="101"/>
      <c r="H95" s="398"/>
      <c r="I95" s="101"/>
      <c r="J95" s="101"/>
      <c r="M95" s="398"/>
      <c r="N95" s="398"/>
      <c r="P95" s="399"/>
      <c r="T95" s="398"/>
      <c r="U95" s="400"/>
      <c r="V95" s="401"/>
    </row>
    <row r="96" spans="3:22" s="351" customFormat="1" ht="12.75">
      <c r="C96" s="402"/>
      <c r="D96" s="402"/>
      <c r="F96" s="101"/>
      <c r="H96" s="398"/>
      <c r="I96" s="101"/>
      <c r="J96" s="101"/>
      <c r="M96" s="398"/>
      <c r="N96" s="398"/>
      <c r="P96" s="399"/>
      <c r="T96" s="398"/>
      <c r="U96" s="400"/>
      <c r="V96" s="401"/>
    </row>
    <row r="97" spans="3:22" s="351" customFormat="1" ht="12.75">
      <c r="C97" s="402"/>
      <c r="D97" s="402"/>
      <c r="F97" s="101"/>
      <c r="H97" s="398"/>
      <c r="I97" s="101"/>
      <c r="J97" s="101"/>
      <c r="M97" s="398"/>
      <c r="N97" s="398"/>
      <c r="P97" s="399"/>
      <c r="T97" s="398"/>
      <c r="U97" s="400"/>
      <c r="V97" s="401"/>
    </row>
    <row r="98" spans="3:22" s="351" customFormat="1" ht="12.75">
      <c r="C98" s="402"/>
      <c r="D98" s="402"/>
      <c r="F98" s="101"/>
      <c r="H98" s="398"/>
      <c r="I98" s="101"/>
      <c r="J98" s="101"/>
      <c r="M98" s="398"/>
      <c r="N98" s="398"/>
      <c r="P98" s="399"/>
      <c r="T98" s="398"/>
      <c r="U98" s="400"/>
      <c r="V98" s="401"/>
    </row>
    <row r="99" spans="11:15" ht="12.75">
      <c r="K99" s="351"/>
      <c r="L99" s="351"/>
      <c r="M99" s="398"/>
      <c r="N99" s="398"/>
      <c r="O99" s="351"/>
    </row>
    <row r="100" spans="11:15" ht="12.75">
      <c r="K100" s="351"/>
      <c r="L100" s="351"/>
      <c r="M100" s="398"/>
      <c r="N100" s="398"/>
      <c r="O100" s="351"/>
    </row>
  </sheetData>
  <sheetProtection password="D6C3" sheet="1"/>
  <mergeCells count="4">
    <mergeCell ref="C3:I3"/>
    <mergeCell ref="K50:O50"/>
    <mergeCell ref="M4:O4"/>
    <mergeCell ref="A2:I2"/>
  </mergeCells>
  <printOptions/>
  <pageMargins left="0.7480314960629921" right="0.7480314960629921" top="0.984251968503937" bottom="0.984251968503937" header="0.5118110236220472" footer="0.5118110236220472"/>
  <pageSetup fitToHeight="1" fitToWidth="1" horizontalDpi="600" verticalDpi="600" orientation="landscape" scale="70" r:id="rId3"/>
  <headerFooter alignWithMargins="0">
    <oddFooter>&amp;L&amp;12Steward Fee-Setting&amp;R&amp;12Stewardship Ontario, 
November, 2013</oddFooter>
  </headerFooter>
  <legacyDrawing r:id="rId2"/>
</worksheet>
</file>

<file path=xl/worksheets/sheet4.xml><?xml version="1.0" encoding="utf-8"?>
<worksheet xmlns="http://schemas.openxmlformats.org/spreadsheetml/2006/main" xmlns:r="http://schemas.openxmlformats.org/officeDocument/2006/relationships">
  <sheetPr codeName="Sheet6">
    <tabColor indexed="53"/>
    <pageSetUpPr fitToPage="1"/>
  </sheetPr>
  <dimension ref="A1:S55"/>
  <sheetViews>
    <sheetView showGridLines="0" zoomScale="85" zoomScaleNormal="85" zoomScalePageLayoutView="0" workbookViewId="0" topLeftCell="A1">
      <pane xSplit="3" ySplit="5" topLeftCell="D6" activePane="bottomRight" state="frozen"/>
      <selection pane="topLeft" activeCell="L44" sqref="L44"/>
      <selection pane="topRight" activeCell="L44" sqref="L44"/>
      <selection pane="bottomLeft" activeCell="L44" sqref="L44"/>
      <selection pane="bottomRight" activeCell="D6" sqref="D6"/>
    </sheetView>
  </sheetViews>
  <sheetFormatPr defaultColWidth="9.140625" defaultRowHeight="12.75"/>
  <cols>
    <col min="1" max="1" width="20.00390625" style="3" customWidth="1"/>
    <col min="2" max="2" width="29.421875" style="288" bestFit="1" customWidth="1"/>
    <col min="3" max="3" width="11.140625" style="481" customWidth="1"/>
    <col min="4" max="4" width="13.28125" style="482" customWidth="1"/>
    <col min="5" max="5" width="15.8515625" style="483" customWidth="1"/>
    <col min="6" max="6" width="1.421875" style="482" customWidth="1"/>
    <col min="7" max="7" width="10.57421875" style="483" customWidth="1"/>
    <col min="8" max="8" width="15.8515625" style="288" customWidth="1"/>
    <col min="9" max="9" width="1.1484375" style="288" customWidth="1"/>
    <col min="10" max="10" width="15.00390625" style="483" customWidth="1"/>
    <col min="11" max="11" width="18.00390625" style="483" bestFit="1" customWidth="1"/>
    <col min="12" max="12" width="10.00390625" style="288" customWidth="1"/>
    <col min="13" max="14" width="8.8515625" style="288" customWidth="1"/>
    <col min="15" max="15" width="0.9921875" style="288" customWidth="1"/>
    <col min="16" max="16" width="18.28125" style="288" customWidth="1"/>
    <col min="17" max="17" width="12.140625" style="288" customWidth="1"/>
    <col min="18" max="19" width="10.140625" style="288" customWidth="1"/>
    <col min="20" max="16384" width="9.140625" style="288" customWidth="1"/>
  </cols>
  <sheetData>
    <row r="1" ht="26.25">
      <c r="A1" s="424" t="s">
        <v>66</v>
      </c>
    </row>
    <row r="2" spans="3:18" ht="12.75" customHeight="1" thickBot="1">
      <c r="C2" s="485"/>
      <c r="D2" s="486"/>
      <c r="E2" s="487"/>
      <c r="F2" s="486"/>
      <c r="G2" s="487"/>
      <c r="H2" s="484"/>
      <c r="I2" s="484"/>
      <c r="J2" s="487"/>
      <c r="K2" s="487"/>
      <c r="L2" s="484"/>
      <c r="M2" s="484"/>
      <c r="N2" s="484"/>
      <c r="O2" s="484"/>
      <c r="P2" s="484"/>
      <c r="Q2" s="484"/>
      <c r="R2" s="484"/>
    </row>
    <row r="3" spans="1:19" ht="17.25" customHeight="1" thickBot="1">
      <c r="A3" s="912"/>
      <c r="B3" s="912"/>
      <c r="C3" s="912"/>
      <c r="D3" s="912"/>
      <c r="E3" s="912"/>
      <c r="F3" s="486"/>
      <c r="G3" s="487"/>
      <c r="H3" s="488"/>
      <c r="I3" s="488">
        <v>0.92564</v>
      </c>
      <c r="J3" s="487"/>
      <c r="K3" s="487"/>
      <c r="L3" s="484"/>
      <c r="M3" s="484"/>
      <c r="N3" s="484"/>
      <c r="O3" s="484"/>
      <c r="P3" s="489"/>
      <c r="Q3" s="489"/>
      <c r="R3" s="606" t="s">
        <v>59</v>
      </c>
      <c r="S3" s="607">
        <f>Inputs!B7/100</f>
        <v>0.6</v>
      </c>
    </row>
    <row r="4" spans="1:19" ht="16.5" thickBot="1">
      <c r="A4" s="4"/>
      <c r="B4" s="484"/>
      <c r="C4" s="490"/>
      <c r="D4" s="919" t="s">
        <v>85</v>
      </c>
      <c r="E4" s="920"/>
      <c r="F4" s="375"/>
      <c r="G4" s="916" t="s">
        <v>11</v>
      </c>
      <c r="H4" s="918"/>
      <c r="I4" s="7"/>
      <c r="J4" s="916" t="s">
        <v>37</v>
      </c>
      <c r="K4" s="917"/>
      <c r="L4" s="917"/>
      <c r="M4" s="917"/>
      <c r="N4" s="918"/>
      <c r="O4" s="8"/>
      <c r="P4" s="913">
        <f>S3</f>
        <v>0.6</v>
      </c>
      <c r="Q4" s="914"/>
      <c r="R4" s="914"/>
      <c r="S4" s="915"/>
    </row>
    <row r="5" spans="1:19" s="501" customFormat="1" ht="40.5" customHeight="1">
      <c r="A5" s="353" t="s">
        <v>19</v>
      </c>
      <c r="B5" s="354" t="s">
        <v>15</v>
      </c>
      <c r="C5" s="491" t="s">
        <v>68</v>
      </c>
      <c r="D5" s="492" t="s">
        <v>71</v>
      </c>
      <c r="E5" s="493" t="s">
        <v>20</v>
      </c>
      <c r="F5" s="494"/>
      <c r="G5" s="495" t="s">
        <v>71</v>
      </c>
      <c r="H5" s="493" t="s">
        <v>72</v>
      </c>
      <c r="I5" s="494"/>
      <c r="J5" s="495" t="s">
        <v>71</v>
      </c>
      <c r="K5" s="496" t="s">
        <v>73</v>
      </c>
      <c r="L5" s="496" t="s">
        <v>74</v>
      </c>
      <c r="M5" s="497" t="s">
        <v>75</v>
      </c>
      <c r="N5" s="498" t="s">
        <v>76</v>
      </c>
      <c r="O5" s="497"/>
      <c r="P5" s="495" t="s">
        <v>116</v>
      </c>
      <c r="Q5" s="499" t="s">
        <v>117</v>
      </c>
      <c r="R5" s="496" t="s">
        <v>75</v>
      </c>
      <c r="S5" s="500" t="s">
        <v>76</v>
      </c>
    </row>
    <row r="6" spans="1:19" s="3" customFormat="1" ht="15" customHeight="1">
      <c r="A6" s="10" t="s">
        <v>34</v>
      </c>
      <c r="B6" s="11"/>
      <c r="C6" s="355"/>
      <c r="D6" s="15"/>
      <c r="E6" s="16"/>
      <c r="F6" s="17"/>
      <c r="G6" s="15"/>
      <c r="H6" s="16"/>
      <c r="I6" s="17"/>
      <c r="J6" s="15"/>
      <c r="K6" s="18"/>
      <c r="L6" s="12"/>
      <c r="M6" s="19"/>
      <c r="N6" s="20"/>
      <c r="O6" s="19"/>
      <c r="P6" s="21"/>
      <c r="Q6" s="638"/>
      <c r="R6" s="638"/>
      <c r="S6" s="664"/>
    </row>
    <row r="7" spans="1:19" ht="15" customHeight="1">
      <c r="A7" s="22" t="s">
        <v>0</v>
      </c>
      <c r="B7" s="428" t="s">
        <v>83</v>
      </c>
      <c r="C7" s="502">
        <f>'Sheet 1 Gen &amp; Rec'!E7</f>
        <v>203689.2709997873</v>
      </c>
      <c r="D7" s="503">
        <f>Inputs!E13</f>
        <v>173.28806981228675</v>
      </c>
      <c r="E7" s="504">
        <f>C7*D7</f>
        <v>35296920.613024935</v>
      </c>
      <c r="F7" s="505"/>
      <c r="G7" s="503">
        <f>Inputs!F13</f>
        <v>87.94679163272701</v>
      </c>
      <c r="H7" s="504">
        <f>C7*G7</f>
        <v>17913817.874440357</v>
      </c>
      <c r="I7" s="505"/>
      <c r="J7" s="503">
        <f>IF(C7=0,0,K7/C7)</f>
        <v>85.34127817955974</v>
      </c>
      <c r="K7" s="506">
        <f>E7-H7</f>
        <v>17383102.738584578</v>
      </c>
      <c r="L7" s="641">
        <f aca="true" t="shared" si="0" ref="L7:L12">K7/K$41</f>
        <v>0.08777917970343872</v>
      </c>
      <c r="M7" s="646">
        <f>K7/K$12</f>
        <v>0.42343990554462474</v>
      </c>
      <c r="N7" s="647"/>
      <c r="O7" s="507"/>
      <c r="P7" s="24">
        <f>MAX(0,'Sheet 1 Gen &amp; Rec'!C7*'Sheet 2 Gross &amp; Net Costs'!S$3*'Sheet 2 Gross &amp; Net Costs'!J7-'Sheet 2 Gross &amp; Net Costs'!K7)</f>
        <v>0</v>
      </c>
      <c r="Q7" s="641">
        <f aca="true" t="shared" si="1" ref="Q7:Q12">P7/P$41</f>
        <v>0</v>
      </c>
      <c r="R7" s="641">
        <f aca="true" t="shared" si="2" ref="R7:R12">IF($S$3=0,0,P7/P$12)</f>
        <v>0</v>
      </c>
      <c r="S7" s="665"/>
    </row>
    <row r="8" spans="1:19" ht="15" customHeight="1">
      <c r="A8" s="22"/>
      <c r="B8" s="429" t="s">
        <v>64</v>
      </c>
      <c r="C8" s="508">
        <f>'Sheet 1 Gen &amp; Rec'!E8</f>
        <v>139062.03154996553</v>
      </c>
      <c r="D8" s="503">
        <f>Inputs!E14</f>
        <v>173.28806981228675</v>
      </c>
      <c r="E8" s="504">
        <f>C8*D8</f>
        <v>24097791.03146885</v>
      </c>
      <c r="F8" s="505"/>
      <c r="G8" s="503">
        <f>Inputs!F14</f>
        <v>87.94679163272701</v>
      </c>
      <c r="H8" s="504">
        <f>C8*G8</f>
        <v>12230059.512748528</v>
      </c>
      <c r="I8" s="505"/>
      <c r="J8" s="503">
        <f>IF(C8=0,0,K8/C8)</f>
        <v>85.34127817955974</v>
      </c>
      <c r="K8" s="506">
        <f>E8-H8</f>
        <v>11867731.518720321</v>
      </c>
      <c r="L8" s="641">
        <f t="shared" si="0"/>
        <v>0.05992829665222002</v>
      </c>
      <c r="M8" s="646">
        <f>K8/K$12</f>
        <v>0.2890894214277124</v>
      </c>
      <c r="N8" s="647"/>
      <c r="O8" s="507"/>
      <c r="P8" s="24">
        <f>MAX(0,'Sheet 1 Gen &amp; Rec'!C8*'Sheet 2 Gross &amp; Net Costs'!S$3*'Sheet 2 Gross &amp; Net Costs'!J8-'Sheet 2 Gross &amp; Net Costs'!K8)</f>
        <v>0</v>
      </c>
      <c r="Q8" s="641">
        <f t="shared" si="1"/>
        <v>0</v>
      </c>
      <c r="R8" s="641">
        <f t="shared" si="2"/>
        <v>0</v>
      </c>
      <c r="S8" s="665"/>
    </row>
    <row r="9" spans="1:19" ht="15" customHeight="1">
      <c r="A9" s="22"/>
      <c r="B9" s="509" t="s">
        <v>3</v>
      </c>
      <c r="C9" s="510">
        <f>'Sheet 1 Gen &amp; Rec'!E9</f>
        <v>61776.102223864626</v>
      </c>
      <c r="D9" s="503">
        <f>Inputs!E15</f>
        <v>173.28806981228675</v>
      </c>
      <c r="E9" s="504">
        <f>C9*D9</f>
        <v>10705061.514900016</v>
      </c>
      <c r="F9" s="505"/>
      <c r="G9" s="503">
        <f>Inputs!F15</f>
        <v>87.94679163272701</v>
      </c>
      <c r="H9" s="504">
        <f>C9*G9</f>
        <v>5433009.990164266</v>
      </c>
      <c r="I9" s="505"/>
      <c r="J9" s="503">
        <f>IF(C9=0,0,K9/C9)</f>
        <v>85.34127817955974</v>
      </c>
      <c r="K9" s="506">
        <f>E9-H9</f>
        <v>5272051.52473575</v>
      </c>
      <c r="L9" s="641">
        <f t="shared" si="0"/>
        <v>0.026622195424776573</v>
      </c>
      <c r="M9" s="646">
        <f>K9/K$12</f>
        <v>0.12842339099252623</v>
      </c>
      <c r="N9" s="647"/>
      <c r="O9" s="507"/>
      <c r="P9" s="24">
        <f>MAX(0,'Sheet 1 Gen &amp; Rec'!C9*'Sheet 2 Gross &amp; Net Costs'!S$3*'Sheet 2 Gross &amp; Net Costs'!J9-'Sheet 2 Gross &amp; Net Costs'!K9)</f>
        <v>0</v>
      </c>
      <c r="Q9" s="641">
        <f t="shared" si="1"/>
        <v>0</v>
      </c>
      <c r="R9" s="641">
        <f t="shared" si="2"/>
        <v>0</v>
      </c>
      <c r="S9" s="665"/>
    </row>
    <row r="10" spans="1:19" ht="15" customHeight="1">
      <c r="A10" s="27"/>
      <c r="B10" s="511" t="s">
        <v>1</v>
      </c>
      <c r="C10" s="510">
        <f>'Sheet 1 Gen &amp; Rec'!E10</f>
        <v>7967.842398026822</v>
      </c>
      <c r="D10" s="503">
        <f>Inputs!E16</f>
        <v>210.88693397004502</v>
      </c>
      <c r="E10" s="512">
        <f>C10*D10</f>
        <v>1680313.8536764076</v>
      </c>
      <c r="F10" s="513"/>
      <c r="G10" s="503">
        <f>Inputs!F16</f>
        <v>91.6106732193739</v>
      </c>
      <c r="H10" s="512">
        <f>C10*G10</f>
        <v>729939.4061891076</v>
      </c>
      <c r="I10" s="513"/>
      <c r="J10" s="514">
        <f>IF(C10=0,0,K10/C10)</f>
        <v>119.27626075067114</v>
      </c>
      <c r="K10" s="515">
        <f>E10-H10</f>
        <v>950374.4474873</v>
      </c>
      <c r="L10" s="642">
        <f t="shared" si="0"/>
        <v>0.004799090856569184</v>
      </c>
      <c r="M10" s="646">
        <f>K10/K$12</f>
        <v>0.02315043938518509</v>
      </c>
      <c r="N10" s="648"/>
      <c r="O10" s="516"/>
      <c r="P10" s="24">
        <f>MAX(0,'Sheet 1 Gen &amp; Rec'!C10*'Sheet 2 Gross &amp; Net Costs'!S$3*'Sheet 2 Gross &amp; Net Costs'!J10-'Sheet 2 Gross &amp; Net Costs'!K10)</f>
        <v>0</v>
      </c>
      <c r="Q10" s="641">
        <f t="shared" si="1"/>
        <v>0</v>
      </c>
      <c r="R10" s="641">
        <f t="shared" si="2"/>
        <v>0</v>
      </c>
      <c r="S10" s="665"/>
    </row>
    <row r="11" spans="1:19" ht="15" customHeight="1">
      <c r="A11" s="29"/>
      <c r="B11" s="517" t="s">
        <v>2</v>
      </c>
      <c r="C11" s="510">
        <f>'Sheet 1 Gen &amp; Rec'!E11</f>
        <v>57949.176957380616</v>
      </c>
      <c r="D11" s="503">
        <f>Inputs!E17</f>
        <v>185.31137655950542</v>
      </c>
      <c r="E11" s="518">
        <f>C11*D11</f>
        <v>10738641.752462573</v>
      </c>
      <c r="F11" s="519"/>
      <c r="G11" s="503">
        <f>Inputs!F17</f>
        <v>89.03990563260801</v>
      </c>
      <c r="H11" s="518">
        <f>C11*G11</f>
        <v>5159789.247772473</v>
      </c>
      <c r="I11" s="519"/>
      <c r="J11" s="520">
        <f>IF(C11=0,0,K11/C11)</f>
        <v>96.2714709268974</v>
      </c>
      <c r="K11" s="521">
        <f>E11-H11</f>
        <v>5578852.5046901</v>
      </c>
      <c r="L11" s="643">
        <f t="shared" si="0"/>
        <v>0.028171443493869956</v>
      </c>
      <c r="M11" s="646">
        <f>K11/K$12</f>
        <v>0.13589684264995147</v>
      </c>
      <c r="N11" s="649"/>
      <c r="O11" s="522"/>
      <c r="P11" s="24">
        <f>MAX(0,'Sheet 1 Gen &amp; Rec'!C11*'Sheet 2 Gross &amp; Net Costs'!S$3*'Sheet 2 Gross &amp; Net Costs'!J11-'Sheet 2 Gross &amp; Net Costs'!K11)</f>
        <v>1828945.6177945295</v>
      </c>
      <c r="Q11" s="641">
        <f t="shared" si="1"/>
        <v>0.009879735651562064</v>
      </c>
      <c r="R11" s="641">
        <f t="shared" si="2"/>
        <v>1</v>
      </c>
      <c r="S11" s="665"/>
    </row>
    <row r="12" spans="1:19" s="3" customFormat="1" ht="15" customHeight="1" thickBot="1">
      <c r="A12" s="31" t="s">
        <v>25</v>
      </c>
      <c r="B12" s="32"/>
      <c r="C12" s="475">
        <f>SUM(C7:C11)</f>
        <v>470444.4241290249</v>
      </c>
      <c r="D12" s="35">
        <f>ROUND(E12/C12,1)</f>
        <v>175.4</v>
      </c>
      <c r="E12" s="36">
        <f>SUM(E7:E11)</f>
        <v>82518728.76553279</v>
      </c>
      <c r="F12" s="37"/>
      <c r="G12" s="38">
        <f>H12/$C12</f>
        <v>88.14349560649065</v>
      </c>
      <c r="H12" s="36">
        <f>SUM(H7:H11)</f>
        <v>41466616.03131473</v>
      </c>
      <c r="I12" s="37"/>
      <c r="J12" s="38">
        <f>K12/$C12</f>
        <v>87.26240684055601</v>
      </c>
      <c r="K12" s="39">
        <f>SUM(K7:K11)</f>
        <v>41052112.73421805</v>
      </c>
      <c r="L12" s="636">
        <f t="shared" si="0"/>
        <v>0.2073002061308745</v>
      </c>
      <c r="M12" s="650">
        <f>SUM(M7:M11)</f>
        <v>1</v>
      </c>
      <c r="N12" s="651"/>
      <c r="O12" s="40"/>
      <c r="P12" s="42">
        <f>SUM(P7:P11)</f>
        <v>1828945.6177945295</v>
      </c>
      <c r="Q12" s="640">
        <f t="shared" si="1"/>
        <v>0.009879735651562064</v>
      </c>
      <c r="R12" s="640">
        <f t="shared" si="2"/>
        <v>1</v>
      </c>
      <c r="S12" s="666"/>
    </row>
    <row r="13" spans="1:19" s="55" customFormat="1" ht="7.5" customHeight="1" thickBot="1">
      <c r="A13" s="43"/>
      <c r="B13" s="44"/>
      <c r="C13" s="476"/>
      <c r="D13" s="48"/>
      <c r="E13" s="49"/>
      <c r="F13" s="50"/>
      <c r="G13" s="51"/>
      <c r="H13" s="49"/>
      <c r="I13" s="50"/>
      <c r="J13" s="51"/>
      <c r="K13" s="52"/>
      <c r="L13" s="631"/>
      <c r="M13" s="652"/>
      <c r="N13" s="653"/>
      <c r="O13" s="53"/>
      <c r="P13" s="54"/>
      <c r="Q13" s="667"/>
      <c r="R13" s="667"/>
      <c r="S13" s="668"/>
    </row>
    <row r="14" spans="1:19" s="55" customFormat="1" ht="15" customHeight="1">
      <c r="A14" s="56" t="s">
        <v>33</v>
      </c>
      <c r="B14" s="57"/>
      <c r="C14" s="477"/>
      <c r="D14" s="58"/>
      <c r="E14" s="59"/>
      <c r="F14" s="60"/>
      <c r="G14" s="61"/>
      <c r="H14" s="59"/>
      <c r="I14" s="60"/>
      <c r="J14" s="61"/>
      <c r="K14" s="62"/>
      <c r="L14" s="644"/>
      <c r="M14" s="654"/>
      <c r="N14" s="655"/>
      <c r="O14" s="63"/>
      <c r="P14" s="64"/>
      <c r="Q14" s="644"/>
      <c r="R14" s="644"/>
      <c r="S14" s="669"/>
    </row>
    <row r="15" spans="1:19" ht="15" customHeight="1">
      <c r="A15" s="22" t="s">
        <v>42</v>
      </c>
      <c r="B15" s="509" t="s">
        <v>133</v>
      </c>
      <c r="C15" s="510">
        <f>'Sheet 1 Gen &amp; Rec'!E15</f>
        <v>144539.0381098868</v>
      </c>
      <c r="D15" s="503">
        <f>Inputs!E19</f>
        <v>482.51607674717894</v>
      </c>
      <c r="E15" s="504">
        <f>C15*D15</f>
        <v>69742409.60559356</v>
      </c>
      <c r="F15" s="505"/>
      <c r="G15" s="523">
        <f>Inputs!F19</f>
        <v>117.83776488663219</v>
      </c>
      <c r="H15" s="504">
        <f>C15*G15</f>
        <v>17032157.189732812</v>
      </c>
      <c r="I15" s="505"/>
      <c r="J15" s="503">
        <f>IF(C15=0,0,K15/C15)</f>
        <v>364.6783118605467</v>
      </c>
      <c r="K15" s="506">
        <f>E15-H15</f>
        <v>52710252.41586075</v>
      </c>
      <c r="L15" s="641">
        <f aca="true" t="shared" si="3" ref="L15:L37">K15/K$41</f>
        <v>0.2661701301894393</v>
      </c>
      <c r="M15" s="787"/>
      <c r="N15" s="647">
        <f aca="true" t="shared" si="4" ref="N15:N37">K15/K$39</f>
        <v>0.33577671174894225</v>
      </c>
      <c r="O15" s="507"/>
      <c r="P15" s="24">
        <f>MAX(0,'Sheet 1 Gen &amp; Rec'!C15*'Sheet 2 Gross &amp; Net Costs'!S$3*'Sheet 2 Gross &amp; Net Costs'!J15-'Sheet 2 Gross &amp; Net Costs'!K15)</f>
        <v>0</v>
      </c>
      <c r="Q15" s="641">
        <f aca="true" t="shared" si="5" ref="Q15:Q37">P15/P$41</f>
        <v>0</v>
      </c>
      <c r="R15" s="641"/>
      <c r="S15" s="665">
        <f aca="true" t="shared" si="6" ref="S15:S37">IF($S$3=0,0,P15/P$39)</f>
        <v>0</v>
      </c>
    </row>
    <row r="16" spans="1:19" ht="15" customHeight="1">
      <c r="A16" s="22" t="s">
        <v>28</v>
      </c>
      <c r="B16" s="517" t="s">
        <v>135</v>
      </c>
      <c r="C16" s="510">
        <f>'Sheet 1 Gen &amp; Rec'!E16</f>
        <v>67997.7963242471</v>
      </c>
      <c r="D16" s="503">
        <f>Inputs!E20</f>
        <v>287.6713607196754</v>
      </c>
      <c r="E16" s="518">
        <f>C16*D16</f>
        <v>19561018.594535507</v>
      </c>
      <c r="F16" s="519"/>
      <c r="G16" s="523">
        <f>Inputs!F20</f>
        <v>88.71354032234366</v>
      </c>
      <c r="H16" s="518">
        <f>C16*G16</f>
        <v>6032325.246041607</v>
      </c>
      <c r="I16" s="519"/>
      <c r="J16" s="520">
        <f>IF(C16=0,0,K16/C16)</f>
        <v>198.95782039733174</v>
      </c>
      <c r="K16" s="521">
        <f>E16-H16</f>
        <v>13528693.3484939</v>
      </c>
      <c r="L16" s="643">
        <f t="shared" si="3"/>
        <v>0.06831562940453849</v>
      </c>
      <c r="M16" s="657"/>
      <c r="N16" s="647">
        <f t="shared" si="4"/>
        <v>0.08618096022340758</v>
      </c>
      <c r="O16" s="524"/>
      <c r="P16" s="24">
        <f>MAX(0,'Sheet 1 Gen &amp; Rec'!C16*'Sheet 2 Gross &amp; Net Costs'!S$3*'Sheet 2 Gross &amp; Net Costs'!J16-'Sheet 2 Gross &amp; Net Costs'!K16)</f>
        <v>6047265.637651492</v>
      </c>
      <c r="Q16" s="643">
        <f t="shared" si="5"/>
        <v>0.03266657320670737</v>
      </c>
      <c r="R16" s="643"/>
      <c r="S16" s="665">
        <f t="shared" si="6"/>
        <v>0.03299253068838466</v>
      </c>
    </row>
    <row r="17" spans="1:19" ht="15" customHeight="1">
      <c r="A17" s="27"/>
      <c r="B17" s="511" t="s">
        <v>134</v>
      </c>
      <c r="C17" s="510">
        <f>'Sheet 1 Gen &amp; Rec'!E17</f>
        <v>6833.153614095236</v>
      </c>
      <c r="D17" s="503">
        <f>Inputs!E21</f>
        <v>1170.5998904010419</v>
      </c>
      <c r="E17" s="512">
        <f>C17*D17</f>
        <v>7998888.871753366</v>
      </c>
      <c r="F17" s="513"/>
      <c r="G17" s="523">
        <f>Inputs!F21</f>
        <v>97.93430386907993</v>
      </c>
      <c r="H17" s="512">
        <f>C17*G17</f>
        <v>669200.1424269045</v>
      </c>
      <c r="I17" s="513"/>
      <c r="J17" s="514">
        <f>IF(C17=0,0,K17/C17)</f>
        <v>1072.665586531962</v>
      </c>
      <c r="K17" s="515">
        <f>E17-H17</f>
        <v>7329688.729326461</v>
      </c>
      <c r="L17" s="642">
        <f t="shared" si="3"/>
        <v>0.0370126135602766</v>
      </c>
      <c r="M17" s="656"/>
      <c r="N17" s="647">
        <f t="shared" si="4"/>
        <v>0.046691842039746224</v>
      </c>
      <c r="O17" s="507"/>
      <c r="P17" s="24">
        <f>MAX(0,'Sheet 1 Gen &amp; Rec'!C17*'Sheet 2 Gross &amp; Net Costs'!S$3*'Sheet 2 Gross &amp; Net Costs'!J17-'Sheet 2 Gross &amp; Net Costs'!K17)</f>
        <v>1840823.9502856573</v>
      </c>
      <c r="Q17" s="642">
        <f t="shared" si="5"/>
        <v>0.009943900919163196</v>
      </c>
      <c r="R17" s="642"/>
      <c r="S17" s="665">
        <f t="shared" si="6"/>
        <v>0.010043124332685904</v>
      </c>
    </row>
    <row r="18" spans="1:19" ht="15" customHeight="1">
      <c r="A18" s="27"/>
      <c r="B18" s="511" t="s">
        <v>162</v>
      </c>
      <c r="C18" s="510">
        <f>'Sheet 1 Gen &amp; Rec'!E18</f>
        <v>1264.1135402506993</v>
      </c>
      <c r="D18" s="503">
        <f>Inputs!E22</f>
        <v>960.4760676349666</v>
      </c>
      <c r="E18" s="512">
        <f>C18*D18</f>
        <v>1214150.8021841077</v>
      </c>
      <c r="F18" s="513"/>
      <c r="G18" s="523">
        <f>Inputs!F22</f>
        <v>0</v>
      </c>
      <c r="H18" s="512">
        <f>C18*G18</f>
        <v>0</v>
      </c>
      <c r="I18" s="513"/>
      <c r="J18" s="514">
        <f>IF(C18=0,0,K18/C18)</f>
        <v>960.4760676349666</v>
      </c>
      <c r="K18" s="515">
        <f>E18-H18</f>
        <v>1214150.8021841077</v>
      </c>
      <c r="L18" s="642">
        <f t="shared" si="3"/>
        <v>0.0061310781541564505</v>
      </c>
      <c r="M18" s="656"/>
      <c r="N18" s="647">
        <f t="shared" si="4"/>
        <v>0.007734426325798553</v>
      </c>
      <c r="O18" s="507"/>
      <c r="P18" s="24">
        <f>MAX(0,'Sheet 1 Gen &amp; Rec'!C18*'Sheet 2 Gross &amp; Net Costs'!S$3*'Sheet 2 Gross &amp; Net Costs'!J18-'Sheet 2 Gross &amp; Net Costs'!K18)</f>
        <v>21379210.802919764</v>
      </c>
      <c r="Q18" s="642">
        <f t="shared" si="5"/>
        <v>0.11548782485209821</v>
      </c>
      <c r="R18" s="642"/>
      <c r="S18" s="665">
        <f t="shared" si="6"/>
        <v>0.11664019918640546</v>
      </c>
    </row>
    <row r="19" spans="1:19" ht="15" customHeight="1">
      <c r="A19" s="29"/>
      <c r="B19" s="517" t="s">
        <v>5</v>
      </c>
      <c r="C19" s="510">
        <f>'Sheet 1 Gen &amp; Rec'!E19</f>
        <v>954.629199185207</v>
      </c>
      <c r="D19" s="503">
        <f>Inputs!E23</f>
        <v>960.4760676349666</v>
      </c>
      <c r="E19" s="518">
        <f>C19*D19</f>
        <v>916898.4992829249</v>
      </c>
      <c r="F19" s="519"/>
      <c r="G19" s="523">
        <f>Inputs!F23</f>
        <v>95.91008579968701</v>
      </c>
      <c r="H19" s="518">
        <f>C19*G19</f>
        <v>91558.5684007397</v>
      </c>
      <c r="I19" s="519"/>
      <c r="J19" s="520">
        <f>IF(C19=0,0,K19/C19)</f>
        <v>864.5659818352797</v>
      </c>
      <c r="K19" s="521">
        <f>E19-H19</f>
        <v>825339.9308821852</v>
      </c>
      <c r="L19" s="643">
        <f t="shared" si="3"/>
        <v>0.0041677060303234505</v>
      </c>
      <c r="M19" s="657"/>
      <c r="N19" s="647">
        <f t="shared" si="4"/>
        <v>0.00525760958001654</v>
      </c>
      <c r="O19" s="524"/>
      <c r="P19" s="24">
        <f>MAX(0,'Sheet 1 Gen &amp; Rec'!C19*'Sheet 2 Gross &amp; Net Costs'!S$3*'Sheet 2 Gross &amp; Net Costs'!J19-'Sheet 2 Gross &amp; Net Costs'!K19)</f>
        <v>2193584.8848631843</v>
      </c>
      <c r="Q19" s="643">
        <f t="shared" si="5"/>
        <v>0.01184947140081952</v>
      </c>
      <c r="R19" s="643"/>
      <c r="S19" s="665">
        <f t="shared" si="6"/>
        <v>0.011967709204110902</v>
      </c>
    </row>
    <row r="20" spans="1:19" s="3" customFormat="1" ht="15" customHeight="1">
      <c r="A20" s="65" t="s">
        <v>21</v>
      </c>
      <c r="B20" s="11"/>
      <c r="C20" s="355">
        <f>SUM(C15:C19)</f>
        <v>221588.73078766503</v>
      </c>
      <c r="D20" s="15">
        <f>ROUND(E20/C20,1)</f>
        <v>448.7</v>
      </c>
      <c r="E20" s="16">
        <f>SUM(E15:E19)</f>
        <v>99433366.37334946</v>
      </c>
      <c r="F20" s="17"/>
      <c r="G20" s="66">
        <f>H20/$C20</f>
        <v>107.52009392315325</v>
      </c>
      <c r="H20" s="16">
        <f>SUM(H15:H19)</f>
        <v>23825241.146602064</v>
      </c>
      <c r="I20" s="17"/>
      <c r="J20" s="66">
        <f>K20/$C20</f>
        <v>341.2092526456052</v>
      </c>
      <c r="K20" s="67">
        <f>SUM(K15:K19)</f>
        <v>75608125.2267474</v>
      </c>
      <c r="L20" s="638">
        <f t="shared" si="3"/>
        <v>0.38179715733873426</v>
      </c>
      <c r="M20" s="658"/>
      <c r="N20" s="659">
        <f t="shared" si="4"/>
        <v>0.4816415499179111</v>
      </c>
      <c r="O20" s="19"/>
      <c r="P20" s="21">
        <f>SUM(P15:P19)</f>
        <v>31460885.275720097</v>
      </c>
      <c r="Q20" s="638">
        <f t="shared" si="5"/>
        <v>0.1699477703787883</v>
      </c>
      <c r="R20" s="638"/>
      <c r="S20" s="664">
        <f t="shared" si="6"/>
        <v>0.17164356341158693</v>
      </c>
    </row>
    <row r="21" spans="1:19" ht="15" customHeight="1">
      <c r="A21" s="22" t="s">
        <v>43</v>
      </c>
      <c r="B21" s="509" t="s">
        <v>136</v>
      </c>
      <c r="C21" s="510">
        <f>'Sheet 1 Gen &amp; Rec'!E21</f>
        <v>32700.66352003424</v>
      </c>
      <c r="D21" s="503">
        <f>Inputs!E25</f>
        <v>1280.5498078769906</v>
      </c>
      <c r="E21" s="504">
        <f aca="true" t="shared" si="7" ref="E21:E26">C21*D21</f>
        <v>41874828.38802996</v>
      </c>
      <c r="F21" s="505"/>
      <c r="G21" s="523">
        <f>Inputs!F25</f>
        <v>425.2337270903982</v>
      </c>
      <c r="H21" s="504">
        <f aca="true" t="shared" si="8" ref="H21:H26">C21*G21</f>
        <v>13905425.02695318</v>
      </c>
      <c r="I21" s="505"/>
      <c r="J21" s="503">
        <f aca="true" t="shared" si="9" ref="J21:J26">IF(C21=0,0,K21/C21)</f>
        <v>855.3160807865925</v>
      </c>
      <c r="K21" s="506">
        <f aca="true" t="shared" si="10" ref="K21:K26">E21-H21</f>
        <v>27969403.361076783</v>
      </c>
      <c r="L21" s="641">
        <f t="shared" si="3"/>
        <v>0.1412366549718633</v>
      </c>
      <c r="M21" s="646"/>
      <c r="N21" s="647">
        <f t="shared" si="4"/>
        <v>0.17817168121426485</v>
      </c>
      <c r="O21" s="507"/>
      <c r="P21" s="24">
        <f>MAX(0,'Sheet 1 Gen &amp; Rec'!C21*'Sheet 2 Gross &amp; Net Costs'!S$3*'Sheet 2 Gross &amp; Net Costs'!J21-'Sheet 2 Gross &amp; Net Costs'!K21)</f>
        <v>1204253.5376184285</v>
      </c>
      <c r="Q21" s="641">
        <f t="shared" si="5"/>
        <v>0.0065052271064656424</v>
      </c>
      <c r="R21" s="641"/>
      <c r="S21" s="665">
        <f t="shared" si="6"/>
        <v>0.006570138336423703</v>
      </c>
    </row>
    <row r="22" spans="1:19" ht="15" customHeight="1">
      <c r="A22" s="27"/>
      <c r="B22" s="511" t="s">
        <v>137</v>
      </c>
      <c r="C22" s="510">
        <f>'Sheet 1 Gen &amp; Rec'!E22</f>
        <v>16408.752630162984</v>
      </c>
      <c r="D22" s="503">
        <f>Inputs!E26</f>
        <v>1196.369996930612</v>
      </c>
      <c r="E22" s="512">
        <f t="shared" si="7"/>
        <v>19630939.33378326</v>
      </c>
      <c r="F22" s="513"/>
      <c r="G22" s="523">
        <f>Inputs!F26</f>
        <v>473.77655925431907</v>
      </c>
      <c r="H22" s="512">
        <f t="shared" si="8"/>
        <v>7774082.362773877</v>
      </c>
      <c r="I22" s="513"/>
      <c r="J22" s="514">
        <f t="shared" si="9"/>
        <v>722.593437676293</v>
      </c>
      <c r="K22" s="515">
        <f t="shared" si="10"/>
        <v>11856856.971009385</v>
      </c>
      <c r="L22" s="642">
        <f t="shared" si="3"/>
        <v>0.059873383620175795</v>
      </c>
      <c r="M22" s="656"/>
      <c r="N22" s="647">
        <f t="shared" si="4"/>
        <v>0.07553096907965247</v>
      </c>
      <c r="O22" s="507"/>
      <c r="P22" s="24">
        <f>MAX(0,'Sheet 1 Gen &amp; Rec'!C22*'Sheet 2 Gross &amp; Net Costs'!S$3*'Sheet 2 Gross &amp; Net Costs'!J22-'Sheet 2 Gross &amp; Net Costs'!K22)</f>
        <v>108264.6467231363</v>
      </c>
      <c r="Q22" s="642">
        <f t="shared" si="5"/>
        <v>0.0005848320910296783</v>
      </c>
      <c r="R22" s="642"/>
      <c r="S22" s="670">
        <f t="shared" si="6"/>
        <v>0.0005906677320805418</v>
      </c>
    </row>
    <row r="23" spans="1:19" ht="15" customHeight="1">
      <c r="A23" s="27"/>
      <c r="B23" s="511" t="s">
        <v>6</v>
      </c>
      <c r="C23" s="510">
        <f>'Sheet 1 Gen &amp; Rec'!E23</f>
        <v>4923.313606858241</v>
      </c>
      <c r="D23" s="503">
        <f>Inputs!E27</f>
        <v>1894.7374204666583</v>
      </c>
      <c r="E23" s="512">
        <f t="shared" si="7"/>
        <v>9328386.523606982</v>
      </c>
      <c r="F23" s="513"/>
      <c r="G23" s="523">
        <f>Inputs!F27</f>
        <v>33.16249427998824</v>
      </c>
      <c r="H23" s="512">
        <f t="shared" si="8"/>
        <v>163269.35932602466</v>
      </c>
      <c r="I23" s="513"/>
      <c r="J23" s="514">
        <f t="shared" si="9"/>
        <v>1861.5749261866697</v>
      </c>
      <c r="K23" s="515">
        <f t="shared" si="10"/>
        <v>9165117.164280957</v>
      </c>
      <c r="L23" s="642">
        <f t="shared" si="3"/>
        <v>0.04628094757679582</v>
      </c>
      <c r="M23" s="656"/>
      <c r="N23" s="647">
        <f t="shared" si="4"/>
        <v>0.05838395308632665</v>
      </c>
      <c r="O23" s="507"/>
      <c r="P23" s="24">
        <f>MAX(0,'Sheet 1 Gen &amp; Rec'!C23*'Sheet 2 Gross &amp; Net Costs'!S$3*'Sheet 2 Gross &amp; Net Costs'!J23-'Sheet 2 Gross &amp; Net Costs'!K23)</f>
        <v>51577435.37721292</v>
      </c>
      <c r="Q23" s="642">
        <f t="shared" si="5"/>
        <v>0.2786148599250675</v>
      </c>
      <c r="R23" s="642"/>
      <c r="S23" s="670">
        <f t="shared" si="6"/>
        <v>0.281394967820817</v>
      </c>
    </row>
    <row r="24" spans="1:19" ht="15" customHeight="1">
      <c r="A24" s="27"/>
      <c r="B24" s="511" t="s">
        <v>175</v>
      </c>
      <c r="C24" s="510">
        <f>'Sheet 1 Gen &amp; Rec'!E24</f>
        <v>7.096217400837455</v>
      </c>
      <c r="D24" s="503">
        <f>Inputs!E28</f>
        <v>1894.7374204666583</v>
      </c>
      <c r="E24" s="512">
        <f t="shared" si="7"/>
        <v>13445.468653133374</v>
      </c>
      <c r="F24" s="513"/>
      <c r="G24" s="523">
        <f>Inputs!F28</f>
        <v>0</v>
      </c>
      <c r="H24" s="512">
        <f t="shared" si="8"/>
        <v>0</v>
      </c>
      <c r="I24" s="513"/>
      <c r="J24" s="514">
        <f t="shared" si="9"/>
        <v>1894.7374204666583</v>
      </c>
      <c r="K24" s="515">
        <f t="shared" si="10"/>
        <v>13445.468653133374</v>
      </c>
      <c r="L24" s="642">
        <f t="shared" si="3"/>
        <v>6.78953709731366E-05</v>
      </c>
      <c r="M24" s="656"/>
      <c r="N24" s="647">
        <f t="shared" si="4"/>
        <v>8.565079932939417E-05</v>
      </c>
      <c r="O24" s="507"/>
      <c r="P24" s="24">
        <f>MAX(0,'Sheet 1 Gen &amp; Rec'!C24*'Sheet 2 Gross &amp; Net Costs'!S$3*'Sheet 2 Gross &amp; Net Costs'!J24-'Sheet 2 Gross &amp; Net Costs'!K24)</f>
        <v>40220921.64834376</v>
      </c>
      <c r="Q24" s="642">
        <f t="shared" si="5"/>
        <v>0.21726839206241966</v>
      </c>
      <c r="R24" s="642"/>
      <c r="S24" s="670">
        <f t="shared" si="6"/>
        <v>0.21943636534436156</v>
      </c>
    </row>
    <row r="25" spans="1:19" ht="15" customHeight="1">
      <c r="A25" s="27"/>
      <c r="B25" s="511" t="s">
        <v>7</v>
      </c>
      <c r="C25" s="510">
        <f>'Sheet 1 Gen &amp; Rec'!E25</f>
        <v>1448.4235646125687</v>
      </c>
      <c r="D25" s="503">
        <f>Inputs!E29</f>
        <v>2292.097273666338</v>
      </c>
      <c r="E25" s="512">
        <f t="shared" si="7"/>
        <v>3319927.703562548</v>
      </c>
      <c r="F25" s="513"/>
      <c r="G25" s="523">
        <f>Inputs!F29</f>
        <v>36.66100964832237</v>
      </c>
      <c r="H25" s="512">
        <f t="shared" si="8"/>
        <v>53100.670277118865</v>
      </c>
      <c r="I25" s="513"/>
      <c r="J25" s="514">
        <f t="shared" si="9"/>
        <v>2255.4362640180157</v>
      </c>
      <c r="K25" s="515">
        <f t="shared" si="10"/>
        <v>3266827.0332854292</v>
      </c>
      <c r="L25" s="642">
        <f t="shared" si="3"/>
        <v>0.01649644494007994</v>
      </c>
      <c r="M25" s="656"/>
      <c r="N25" s="647">
        <f t="shared" si="4"/>
        <v>0.020810456956929017</v>
      </c>
      <c r="O25" s="507"/>
      <c r="P25" s="24">
        <f>MAX(0,'Sheet 1 Gen &amp; Rec'!C25*'Sheet 2 Gross &amp; Net Costs'!S$3*'Sheet 2 Gross &amp; Net Costs'!J25-'Sheet 2 Gross &amp; Net Costs'!K25)</f>
        <v>25680797.40745918</v>
      </c>
      <c r="Q25" s="642">
        <f t="shared" si="5"/>
        <v>0.13872445809130715</v>
      </c>
      <c r="R25" s="642"/>
      <c r="S25" s="670">
        <f t="shared" si="6"/>
        <v>0.14010869495999728</v>
      </c>
    </row>
    <row r="26" spans="1:19" ht="15" customHeight="1">
      <c r="A26" s="29"/>
      <c r="B26" s="517" t="s">
        <v>8</v>
      </c>
      <c r="C26" s="510">
        <f>'Sheet 1 Gen &amp; Rec'!E26</f>
        <v>16145.96825794818</v>
      </c>
      <c r="D26" s="503">
        <f>Inputs!E30</f>
        <v>1387.8374770656017</v>
      </c>
      <c r="E26" s="518">
        <f t="shared" si="7"/>
        <v>22407979.851892088</v>
      </c>
      <c r="F26" s="519"/>
      <c r="G26" s="523">
        <f>Inputs!F30</f>
        <v>145.99476229249368</v>
      </c>
      <c r="H26" s="518">
        <f t="shared" si="8"/>
        <v>2357226.7978012925</v>
      </c>
      <c r="I26" s="519"/>
      <c r="J26" s="520">
        <f t="shared" si="9"/>
        <v>1241.842714773108</v>
      </c>
      <c r="K26" s="521">
        <f t="shared" si="10"/>
        <v>20050753.054090794</v>
      </c>
      <c r="L26" s="643">
        <f t="shared" si="3"/>
        <v>0.10124997142297394</v>
      </c>
      <c r="M26" s="657"/>
      <c r="N26" s="647">
        <f t="shared" si="4"/>
        <v>0.1277280153294581</v>
      </c>
      <c r="O26" s="524"/>
      <c r="P26" s="24">
        <f>MAX(0,'Sheet 1 Gen &amp; Rec'!C26*'Sheet 2 Gross &amp; Net Costs'!S$3*'Sheet 2 Gross &amp; Net Costs'!J26-'Sheet 2 Gross &amp; Net Costs'!K26)</f>
        <v>32695508.37654156</v>
      </c>
      <c r="Q26" s="643">
        <f t="shared" si="5"/>
        <v>0.17661705007018602</v>
      </c>
      <c r="R26" s="643"/>
      <c r="S26" s="671">
        <f t="shared" si="6"/>
        <v>0.1783793913019357</v>
      </c>
    </row>
    <row r="27" spans="1:19" s="3" customFormat="1" ht="15" customHeight="1">
      <c r="A27" s="65" t="s">
        <v>22</v>
      </c>
      <c r="B27" s="11"/>
      <c r="C27" s="14">
        <f>SUM(C21:C26)</f>
        <v>71634.21779701705</v>
      </c>
      <c r="D27" s="15">
        <f>ROUND(E27/C27,1)</f>
        <v>1348.2</v>
      </c>
      <c r="E27" s="16">
        <f>SUM(E21:E26)</f>
        <v>96575507.26952796</v>
      </c>
      <c r="F27" s="17"/>
      <c r="G27" s="66">
        <f>H27/$C27</f>
        <v>338.5687031001744</v>
      </c>
      <c r="H27" s="16">
        <f>SUM(H21:H26)</f>
        <v>24253104.21713149</v>
      </c>
      <c r="I27" s="17"/>
      <c r="J27" s="66">
        <f>K27/$C27</f>
        <v>1009.6069347379417</v>
      </c>
      <c r="K27" s="67">
        <f>SUM(K21:K26)</f>
        <v>72322403.05239649</v>
      </c>
      <c r="L27" s="638">
        <f t="shared" si="3"/>
        <v>0.365205297902862</v>
      </c>
      <c r="M27" s="658"/>
      <c r="N27" s="659">
        <f t="shared" si="4"/>
        <v>0.46071072646596056</v>
      </c>
      <c r="O27" s="19"/>
      <c r="P27" s="21">
        <f>SUM(P21:P26)</f>
        <v>151487180.993899</v>
      </c>
      <c r="Q27" s="638">
        <f t="shared" si="5"/>
        <v>0.8183148193464757</v>
      </c>
      <c r="R27" s="638"/>
      <c r="S27" s="664">
        <f t="shared" si="6"/>
        <v>0.8264802254956158</v>
      </c>
    </row>
    <row r="28" spans="1:19" ht="15" customHeight="1">
      <c r="A28" s="22" t="s">
        <v>44</v>
      </c>
      <c r="B28" s="509" t="s">
        <v>94</v>
      </c>
      <c r="C28" s="510">
        <f>'Sheet 1 Gen &amp; Rec'!E28</f>
        <v>29186.730004617035</v>
      </c>
      <c r="D28" s="503">
        <f>Inputs!E32</f>
        <v>352.1542069421263</v>
      </c>
      <c r="E28" s="504">
        <f>C28*D28</f>
        <v>10278229.758009873</v>
      </c>
      <c r="F28" s="505"/>
      <c r="G28" s="523">
        <f>Inputs!F32</f>
        <v>262.8868731033518</v>
      </c>
      <c r="H28" s="504">
        <f>C28*G28</f>
        <v>7672808.187025548</v>
      </c>
      <c r="I28" s="505"/>
      <c r="J28" s="503">
        <f>IF(C28=0,0,K28/C28)</f>
        <v>89.2673338387745</v>
      </c>
      <c r="K28" s="506">
        <f>E28-H28</f>
        <v>2605421.5709843254</v>
      </c>
      <c r="L28" s="641">
        <f t="shared" si="3"/>
        <v>0.01315655620989966</v>
      </c>
      <c r="M28" s="646"/>
      <c r="N28" s="647">
        <f t="shared" si="4"/>
        <v>0.016597148519092216</v>
      </c>
      <c r="O28" s="507"/>
      <c r="P28" s="24">
        <f>MAX(0,'Sheet 1 Gen &amp; Rec'!C28*'Sheet 2 Gross &amp; Net Costs'!S$3*'Sheet 2 Gross &amp; Net Costs'!J28-'Sheet 2 Gross &amp; Net Costs'!K28)</f>
        <v>0</v>
      </c>
      <c r="Q28" s="641">
        <f t="shared" si="5"/>
        <v>0</v>
      </c>
      <c r="R28" s="641"/>
      <c r="S28" s="665">
        <f t="shared" si="6"/>
        <v>0</v>
      </c>
    </row>
    <row r="29" spans="1:19" ht="15" customHeight="1">
      <c r="A29" s="27"/>
      <c r="B29" s="511" t="s">
        <v>95</v>
      </c>
      <c r="C29" s="510">
        <f>'Sheet 1 Gen &amp; Rec'!E29</f>
        <v>942.2774152606513</v>
      </c>
      <c r="D29" s="503">
        <f>Inputs!E33</f>
        <v>352.1542069421263</v>
      </c>
      <c r="E29" s="512">
        <f>C29*D29</f>
        <v>331826.95589059126</v>
      </c>
      <c r="F29" s="513"/>
      <c r="G29" s="523">
        <f>Inputs!F33</f>
        <v>262.8868731033518</v>
      </c>
      <c r="H29" s="512">
        <f>C29*G29</f>
        <v>247712.36329378115</v>
      </c>
      <c r="I29" s="513"/>
      <c r="J29" s="514">
        <f>IF(C29=0,0,K29/C29)</f>
        <v>89.26733383877449</v>
      </c>
      <c r="K29" s="515">
        <f>E29-H29</f>
        <v>84114.59259681011</v>
      </c>
      <c r="L29" s="642">
        <f t="shared" si="3"/>
        <v>0.00042475213143900077</v>
      </c>
      <c r="M29" s="656"/>
      <c r="N29" s="647">
        <f t="shared" si="4"/>
        <v>0.0005358297488205569</v>
      </c>
      <c r="O29" s="507"/>
      <c r="P29" s="24">
        <f>MAX(0,'Sheet 1 Gen &amp; Rec'!C29*'Sheet 2 Gross &amp; Net Costs'!S$3*'Sheet 2 Gross &amp; Net Costs'!J29-'Sheet 2 Gross &amp; Net Costs'!K29)</f>
        <v>134344.502311778</v>
      </c>
      <c r="Q29" s="642">
        <f t="shared" si="5"/>
        <v>0.0007257122115427204</v>
      </c>
      <c r="R29" s="642"/>
      <c r="S29" s="670">
        <f t="shared" si="6"/>
        <v>0.000732953599349151</v>
      </c>
    </row>
    <row r="30" spans="1:19" ht="15" customHeight="1">
      <c r="A30" s="29"/>
      <c r="B30" s="517" t="s">
        <v>96</v>
      </c>
      <c r="C30" s="510">
        <f>'Sheet 1 Gen &amp; Rec'!E30</f>
        <v>695.9209608330104</v>
      </c>
      <c r="D30" s="503">
        <f>Inputs!E34</f>
        <v>352.1542069421263</v>
      </c>
      <c r="E30" s="518">
        <f>C30*D30</f>
        <v>245071.4940565513</v>
      </c>
      <c r="F30" s="519"/>
      <c r="G30" s="523">
        <f>Inputs!F34</f>
        <v>262.8868731033518</v>
      </c>
      <c r="H30" s="518">
        <f>C30*G30</f>
        <v>182948.48532047027</v>
      </c>
      <c r="I30" s="519"/>
      <c r="J30" s="520">
        <f>IF(C30=0,0,K30/C30)</f>
        <v>89.26733383877448</v>
      </c>
      <c r="K30" s="521">
        <f>E30-H30</f>
        <v>62123.00873608104</v>
      </c>
      <c r="L30" s="643">
        <f t="shared" si="3"/>
        <v>0.0003137015773057999</v>
      </c>
      <c r="M30" s="657"/>
      <c r="N30" s="647">
        <f t="shared" si="4"/>
        <v>0.00039573818453344004</v>
      </c>
      <c r="O30" s="524"/>
      <c r="P30" s="24">
        <f>MAX(0,'Sheet 1 Gen &amp; Rec'!C30*'Sheet 2 Gross &amp; Net Costs'!S$3*'Sheet 2 Gross &amp; Net Costs'!J30-'Sheet 2 Gross &amp; Net Costs'!K30)</f>
        <v>209549.90753559928</v>
      </c>
      <c r="Q30" s="643">
        <f t="shared" si="5"/>
        <v>0.001131962411631191</v>
      </c>
      <c r="R30" s="643"/>
      <c r="S30" s="671">
        <f t="shared" si="6"/>
        <v>0.001143257493448126</v>
      </c>
    </row>
    <row r="31" spans="1:19" s="3" customFormat="1" ht="15" customHeight="1">
      <c r="A31" s="65" t="s">
        <v>47</v>
      </c>
      <c r="B31" s="11"/>
      <c r="C31" s="14">
        <f>SUM(C28:C30)</f>
        <v>30824.928380710695</v>
      </c>
      <c r="D31" s="15">
        <f>ROUND(E31/C31,1)</f>
        <v>352.2</v>
      </c>
      <c r="E31" s="16">
        <f>SUM(E28:E30)</f>
        <v>10855128.207957016</v>
      </c>
      <c r="F31" s="17"/>
      <c r="G31" s="66">
        <f>H31/$C31</f>
        <v>262.8868731033518</v>
      </c>
      <c r="H31" s="16">
        <f>SUM(H28:H30)</f>
        <v>8103469.035639799</v>
      </c>
      <c r="I31" s="17"/>
      <c r="J31" s="66">
        <f>K31/$C31</f>
        <v>89.26733383877452</v>
      </c>
      <c r="K31" s="67">
        <f>SUM(K28:K30)</f>
        <v>2751659.1723172166</v>
      </c>
      <c r="L31" s="638">
        <f t="shared" si="3"/>
        <v>0.013895009918644462</v>
      </c>
      <c r="M31" s="658"/>
      <c r="N31" s="659">
        <f t="shared" si="4"/>
        <v>0.017528716452446212</v>
      </c>
      <c r="O31" s="19"/>
      <c r="P31" s="21">
        <f>P28+P29+P30</f>
        <v>343894.4098473773</v>
      </c>
      <c r="Q31" s="638">
        <f t="shared" si="5"/>
        <v>0.0018576746231739113</v>
      </c>
      <c r="R31" s="638"/>
      <c r="S31" s="664">
        <f t="shared" si="6"/>
        <v>0.001876211092797277</v>
      </c>
    </row>
    <row r="32" spans="1:19" ht="15" customHeight="1">
      <c r="A32" s="22" t="s">
        <v>45</v>
      </c>
      <c r="B32" s="509" t="s">
        <v>97</v>
      </c>
      <c r="C32" s="510">
        <f>'Sheet 1 Gen &amp; Rec'!E32</f>
        <v>10860.305821831942</v>
      </c>
      <c r="D32" s="503">
        <f>Inputs!E36</f>
        <v>1114.3529197864884</v>
      </c>
      <c r="E32" s="504">
        <f>C32*D32</f>
        <v>12102213.502332624</v>
      </c>
      <c r="F32" s="505"/>
      <c r="G32" s="523">
        <f>Inputs!F36</f>
        <v>1400.334818869702</v>
      </c>
      <c r="H32" s="504">
        <f>C32*G32</f>
        <v>15208064.385884603</v>
      </c>
      <c r="I32" s="505"/>
      <c r="J32" s="503">
        <f>IF(C32=0,0,K32/C32)</f>
        <v>-285.9818990832136</v>
      </c>
      <c r="K32" s="506">
        <f>E32-H32</f>
        <v>-3105850.8835519794</v>
      </c>
      <c r="L32" s="641">
        <f t="shared" si="3"/>
        <v>-0.01568356621595806</v>
      </c>
      <c r="M32" s="646"/>
      <c r="N32" s="647">
        <f t="shared" si="4"/>
        <v>-0.019785001001964956</v>
      </c>
      <c r="O32" s="507"/>
      <c r="P32" s="24">
        <f>MAX(0,'Sheet 1 Gen &amp; Rec'!C32*'Sheet 2 Gross &amp; Net Costs'!S$3*'Sheet 2 Gross &amp; Net Costs'!J32-'Sheet 2 Gross &amp; Net Costs'!K32)</f>
        <v>0</v>
      </c>
      <c r="Q32" s="641">
        <f t="shared" si="5"/>
        <v>0</v>
      </c>
      <c r="R32" s="641"/>
      <c r="S32" s="665">
        <f t="shared" si="6"/>
        <v>0</v>
      </c>
    </row>
    <row r="33" spans="1:19" ht="15" customHeight="1">
      <c r="A33" s="29"/>
      <c r="B33" s="517" t="s">
        <v>82</v>
      </c>
      <c r="C33" s="510">
        <f>'Sheet 1 Gen &amp; Rec'!E33</f>
        <v>347.9534799771227</v>
      </c>
      <c r="D33" s="503">
        <f>Inputs!E37</f>
        <v>1114.3529197864884</v>
      </c>
      <c r="E33" s="518">
        <f>C33*D33</f>
        <v>387742.9763623761</v>
      </c>
      <c r="F33" s="519"/>
      <c r="G33" s="523">
        <f>Inputs!F37</f>
        <v>1400.334818869702</v>
      </c>
      <c r="H33" s="518">
        <f>C33*G33</f>
        <v>487251.37335884664</v>
      </c>
      <c r="I33" s="519"/>
      <c r="J33" s="520">
        <f>IF(C33=0,0,K33/C33)</f>
        <v>-285.9818990832137</v>
      </c>
      <c r="K33" s="521">
        <f>E33-H33</f>
        <v>-99508.39699647052</v>
      </c>
      <c r="L33" s="643">
        <f t="shared" si="3"/>
        <v>-0.00050248598269894</v>
      </c>
      <c r="M33" s="657"/>
      <c r="N33" s="647">
        <f t="shared" si="4"/>
        <v>-0.0006338919053407756</v>
      </c>
      <c r="O33" s="524"/>
      <c r="P33" s="24">
        <f>MAX(0,'Sheet 1 Gen &amp; Rec'!C33*'Sheet 2 Gross &amp; Net Costs'!S$3*'Sheet 2 Gross &amp; Net Costs'!J33-'Sheet 2 Gross &amp; Net Costs'!K33)</f>
        <v>0</v>
      </c>
      <c r="Q33" s="643">
        <f t="shared" si="5"/>
        <v>0</v>
      </c>
      <c r="R33" s="643"/>
      <c r="S33" s="671">
        <f t="shared" si="6"/>
        <v>0</v>
      </c>
    </row>
    <row r="34" spans="1:19" s="3" customFormat="1" ht="15" customHeight="1">
      <c r="A34" s="65" t="s">
        <v>23</v>
      </c>
      <c r="B34" s="11"/>
      <c r="C34" s="14">
        <f>SUM(C32:C33)</f>
        <v>11208.259301809065</v>
      </c>
      <c r="D34" s="15">
        <f>ROUND(E34/C34,1)</f>
        <v>1114.4</v>
      </c>
      <c r="E34" s="16">
        <f>SUM(E32:E33)</f>
        <v>12489956.478695</v>
      </c>
      <c r="F34" s="17"/>
      <c r="G34" s="66">
        <f>H34/$C34</f>
        <v>1400.334818869702</v>
      </c>
      <c r="H34" s="16">
        <f>SUM(H32:H33)</f>
        <v>15695315.759243451</v>
      </c>
      <c r="I34" s="17"/>
      <c r="J34" s="66">
        <f>K34/$C34</f>
        <v>-285.9818990832136</v>
      </c>
      <c r="K34" s="67">
        <f>SUM(K32:K33)</f>
        <v>-3205359.28054845</v>
      </c>
      <c r="L34" s="638">
        <f t="shared" si="3"/>
        <v>-0.016186052198657</v>
      </c>
      <c r="M34" s="658"/>
      <c r="N34" s="659">
        <f t="shared" si="4"/>
        <v>-0.02041889290730573</v>
      </c>
      <c r="O34" s="19"/>
      <c r="P34" s="21">
        <f>SUM(P32:P33)</f>
        <v>0</v>
      </c>
      <c r="Q34" s="638">
        <f t="shared" si="5"/>
        <v>0</v>
      </c>
      <c r="R34" s="638"/>
      <c r="S34" s="664">
        <f t="shared" si="6"/>
        <v>0</v>
      </c>
    </row>
    <row r="35" spans="1:19" ht="15" customHeight="1">
      <c r="A35" s="22" t="s">
        <v>46</v>
      </c>
      <c r="B35" s="509" t="s">
        <v>109</v>
      </c>
      <c r="C35" s="510">
        <f>'Sheet 1 Gen &amp; Rec'!E35</f>
        <v>70014.0891585779</v>
      </c>
      <c r="D35" s="503">
        <f>Inputs!E39</f>
        <v>135.99188182736177</v>
      </c>
      <c r="E35" s="504">
        <f>C35*D35</f>
        <v>9521347.739103697</v>
      </c>
      <c r="F35" s="505"/>
      <c r="G35" s="523">
        <f>Inputs!F39</f>
        <v>25.966626964230496</v>
      </c>
      <c r="H35" s="504">
        <f>C35*G35</f>
        <v>1818029.735421167</v>
      </c>
      <c r="I35" s="505"/>
      <c r="J35" s="503">
        <f>IF(C35=0,0,K35/C35)</f>
        <v>110.02525486313128</v>
      </c>
      <c r="K35" s="506">
        <f>E35-H35</f>
        <v>7703318.0036825305</v>
      </c>
      <c r="L35" s="641">
        <f t="shared" si="3"/>
        <v>0.03889932341348186</v>
      </c>
      <c r="M35" s="646"/>
      <c r="N35" s="647">
        <f t="shared" si="4"/>
        <v>0.04907194844042576</v>
      </c>
      <c r="O35" s="507"/>
      <c r="P35" s="24">
        <f>MAX(0,'Sheet 1 Gen &amp; Rec'!C35*'Sheet 2 Gross &amp; Net Costs'!S$3*'Sheet 2 Gross &amp; Net Costs'!J35-'Sheet 2 Gross &amp; Net Costs'!K35)</f>
        <v>0</v>
      </c>
      <c r="Q35" s="641">
        <f t="shared" si="5"/>
        <v>0</v>
      </c>
      <c r="R35" s="641"/>
      <c r="S35" s="665">
        <f t="shared" si="6"/>
        <v>0</v>
      </c>
    </row>
    <row r="36" spans="1:19" ht="15" customHeight="1">
      <c r="A36" s="27"/>
      <c r="B36" s="511" t="s">
        <v>53</v>
      </c>
      <c r="C36" s="510">
        <f>'Sheet 1 Gen &amp; Rec'!E36</f>
        <v>17209.738615195434</v>
      </c>
      <c r="D36" s="503">
        <f>Inputs!E40</f>
        <v>125.42501523221166</v>
      </c>
      <c r="E36" s="512">
        <f>C36*D36</f>
        <v>2158531.7279532687</v>
      </c>
      <c r="F36" s="513"/>
      <c r="G36" s="523">
        <f>Inputs!F40</f>
        <v>20.83737716458192</v>
      </c>
      <c r="H36" s="512">
        <f>C36*G36</f>
        <v>358605.814428697</v>
      </c>
      <c r="I36" s="513"/>
      <c r="J36" s="514">
        <f>IF(C36=0,0,K36/C36)</f>
        <v>104.58763806762975</v>
      </c>
      <c r="K36" s="515">
        <f>E36-H36</f>
        <v>1799925.9135245718</v>
      </c>
      <c r="L36" s="642">
        <f t="shared" si="3"/>
        <v>0.00908905749406014</v>
      </c>
      <c r="M36" s="656"/>
      <c r="N36" s="647">
        <f t="shared" si="4"/>
        <v>0.011465951630562353</v>
      </c>
      <c r="O36" s="507"/>
      <c r="P36" s="24">
        <f>MAX(0,'Sheet 1 Gen &amp; Rec'!C36*'Sheet 2 Gross &amp; Net Costs'!S$3*'Sheet 2 Gross &amp; Net Costs'!J36-'Sheet 2 Gross &amp; Net Costs'!K36)</f>
        <v>0</v>
      </c>
      <c r="Q36" s="642">
        <f t="shared" si="5"/>
        <v>0</v>
      </c>
      <c r="R36" s="642"/>
      <c r="S36" s="670">
        <f t="shared" si="6"/>
        <v>0</v>
      </c>
    </row>
    <row r="37" spans="1:19" s="3" customFormat="1" ht="15" customHeight="1">
      <c r="A37" s="65" t="s">
        <v>24</v>
      </c>
      <c r="B37" s="11"/>
      <c r="C37" s="355">
        <f>SUM(C35:C36)</f>
        <v>87223.82777377334</v>
      </c>
      <c r="D37" s="15">
        <f>ROUND(E37/C37,1)</f>
        <v>133.9</v>
      </c>
      <c r="E37" s="16">
        <f>SUM(E35:E36)</f>
        <v>11679879.467056965</v>
      </c>
      <c r="F37" s="17"/>
      <c r="G37" s="66">
        <f>H37/$C37</f>
        <v>24.95459790523364</v>
      </c>
      <c r="H37" s="16">
        <f>SUM(H35:H36)</f>
        <v>2176635.549849864</v>
      </c>
      <c r="I37" s="17"/>
      <c r="J37" s="66">
        <f>K37/$C37</f>
        <v>108.95238330809141</v>
      </c>
      <c r="K37" s="67">
        <f>SUM(K35:K36)</f>
        <v>9503243.917207103</v>
      </c>
      <c r="L37" s="638">
        <f t="shared" si="3"/>
        <v>0.047988380907542004</v>
      </c>
      <c r="M37" s="658"/>
      <c r="N37" s="659">
        <f t="shared" si="4"/>
        <v>0.060537900070988124</v>
      </c>
      <c r="O37" s="19"/>
      <c r="P37" s="21">
        <f>SUM(P35:P36)</f>
        <v>0</v>
      </c>
      <c r="Q37" s="638">
        <f t="shared" si="5"/>
        <v>0</v>
      </c>
      <c r="R37" s="638"/>
      <c r="S37" s="664">
        <f t="shared" si="6"/>
        <v>0</v>
      </c>
    </row>
    <row r="38" spans="1:19" s="55" customFormat="1" ht="7.5" customHeight="1">
      <c r="A38" s="68"/>
      <c r="B38" s="69"/>
      <c r="C38" s="478"/>
      <c r="D38" s="71"/>
      <c r="E38" s="72"/>
      <c r="F38" s="73"/>
      <c r="G38" s="74"/>
      <c r="H38" s="72"/>
      <c r="I38" s="73"/>
      <c r="J38" s="74"/>
      <c r="K38" s="75"/>
      <c r="L38" s="639"/>
      <c r="M38" s="660"/>
      <c r="N38" s="661"/>
      <c r="O38" s="76"/>
      <c r="P38" s="78"/>
      <c r="Q38" s="639"/>
      <c r="R38" s="639"/>
      <c r="S38" s="672"/>
    </row>
    <row r="39" spans="1:19" s="3" customFormat="1" ht="15" customHeight="1">
      <c r="A39" s="79" t="s">
        <v>35</v>
      </c>
      <c r="B39" s="80"/>
      <c r="C39" s="479">
        <f>C41-C12</f>
        <v>422479.96404097514</v>
      </c>
      <c r="D39" s="15">
        <f>ROUND(E39/C39,1)</f>
        <v>546.9</v>
      </c>
      <c r="E39" s="81">
        <f>E41-E12</f>
        <v>231033837.7965864</v>
      </c>
      <c r="F39" s="82"/>
      <c r="G39" s="66">
        <f>H39/$C39</f>
        <v>175.2834974708633</v>
      </c>
      <c r="H39" s="81">
        <f>H41-H12</f>
        <v>74053765.70846668</v>
      </c>
      <c r="I39" s="82"/>
      <c r="J39" s="66">
        <f>K39/$C39</f>
        <v>371.5680871268363</v>
      </c>
      <c r="K39" s="83">
        <f>K41-K12</f>
        <v>156980072.08811972</v>
      </c>
      <c r="L39" s="640">
        <f>K39/K$41</f>
        <v>0.7926997938691255</v>
      </c>
      <c r="M39" s="650"/>
      <c r="N39" s="651">
        <f>N37+N34+N31+N27+N20</f>
        <v>1.0000000000000002</v>
      </c>
      <c r="O39" s="40"/>
      <c r="P39" s="42">
        <f>P41-P12</f>
        <v>183291960.67946646</v>
      </c>
      <c r="Q39" s="640"/>
      <c r="R39" s="640"/>
      <c r="S39" s="666"/>
    </row>
    <row r="40" spans="1:19" s="55" customFormat="1" ht="6.75" customHeight="1">
      <c r="A40" s="68"/>
      <c r="B40" s="69"/>
      <c r="C40" s="478"/>
      <c r="D40" s="84"/>
      <c r="E40" s="72"/>
      <c r="F40" s="73"/>
      <c r="G40" s="85"/>
      <c r="H40" s="72"/>
      <c r="I40" s="73"/>
      <c r="J40" s="85"/>
      <c r="K40" s="75"/>
      <c r="L40" s="639"/>
      <c r="M40" s="660"/>
      <c r="N40" s="661"/>
      <c r="O40" s="76"/>
      <c r="P40" s="78"/>
      <c r="Q40" s="639"/>
      <c r="R40" s="639"/>
      <c r="S40" s="672"/>
    </row>
    <row r="41" spans="1:19" ht="17.25" customHeight="1" thickBot="1">
      <c r="A41" s="86" t="s">
        <v>26</v>
      </c>
      <c r="B41" s="87"/>
      <c r="C41" s="480">
        <f>C12+C20+C27+C31+C34+C37</f>
        <v>892924.38817</v>
      </c>
      <c r="D41" s="88">
        <f>ROUND(E41/C41,1)</f>
        <v>351.2</v>
      </c>
      <c r="E41" s="89">
        <f>E12+E20+E27+E31+E34+E37</f>
        <v>313552566.5621192</v>
      </c>
      <c r="F41" s="90"/>
      <c r="G41" s="91">
        <f>H41/C41</f>
        <v>129.37308384703675</v>
      </c>
      <c r="H41" s="89">
        <f>H12+H20+H27+H31+H34+H37</f>
        <v>115520381.73978141</v>
      </c>
      <c r="I41" s="90"/>
      <c r="J41" s="88">
        <f>K41/C41</f>
        <v>221.77934374510025</v>
      </c>
      <c r="K41" s="92">
        <f>K12+K20+K27+K31+K34+K37</f>
        <v>198032184.82233778</v>
      </c>
      <c r="L41" s="645">
        <f>L12+L20+L27+L31+L34+L37</f>
        <v>1.0000000000000002</v>
      </c>
      <c r="M41" s="662"/>
      <c r="N41" s="663"/>
      <c r="O41" s="93"/>
      <c r="P41" s="94">
        <f>P12+P20+P27+P31+P34+P37</f>
        <v>185120906.297261</v>
      </c>
      <c r="Q41" s="645">
        <f>P41/P$41</f>
        <v>1</v>
      </c>
      <c r="R41" s="645"/>
      <c r="S41" s="673">
        <f>S20+S27+S31+S34+S37</f>
        <v>1</v>
      </c>
    </row>
    <row r="42" spans="1:19" ht="9.75" customHeight="1" thickBot="1" thickTop="1">
      <c r="A42" s="95"/>
      <c r="B42" s="525"/>
      <c r="C42" s="526"/>
      <c r="D42" s="527"/>
      <c r="E42" s="528"/>
      <c r="F42" s="529"/>
      <c r="G42" s="530"/>
      <c r="H42" s="528"/>
      <c r="I42" s="529"/>
      <c r="J42" s="530"/>
      <c r="K42" s="531"/>
      <c r="L42" s="532"/>
      <c r="M42" s="533"/>
      <c r="N42" s="533"/>
      <c r="O42" s="534"/>
      <c r="P42" s="535"/>
      <c r="Q42" s="536"/>
      <c r="R42" s="484"/>
      <c r="S42" s="537"/>
    </row>
    <row r="43" spans="1:19" ht="19.5" customHeight="1" thickBot="1">
      <c r="A43" s="96"/>
      <c r="B43" s="538"/>
      <c r="C43" s="539"/>
      <c r="D43" s="540"/>
      <c r="E43" s="541"/>
      <c r="F43" s="542"/>
      <c r="G43" s="533"/>
      <c r="H43" s="543"/>
      <c r="I43" s="544"/>
      <c r="J43" s="545" t="s">
        <v>16</v>
      </c>
      <c r="K43" s="546">
        <f>K41/2</f>
        <v>99016092.41116889</v>
      </c>
      <c r="L43" s="532"/>
      <c r="M43" s="533"/>
      <c r="N43" s="533"/>
      <c r="O43" s="547"/>
      <c r="P43" s="489"/>
      <c r="Q43" s="548"/>
      <c r="R43" s="548"/>
      <c r="S43" s="549"/>
    </row>
    <row r="44" spans="5:10" ht="12.75">
      <c r="E44" s="550"/>
      <c r="G44" s="550"/>
      <c r="H44" s="551"/>
      <c r="I44" s="551"/>
      <c r="J44" s="552"/>
    </row>
    <row r="45" spans="2:10" ht="12.75">
      <c r="B45" s="399"/>
      <c r="C45" s="553"/>
      <c r="D45" s="585"/>
      <c r="E45" s="554"/>
      <c r="F45" s="453"/>
      <c r="G45" s="554"/>
      <c r="H45" s="586"/>
      <c r="I45" s="50"/>
      <c r="J45" s="554"/>
    </row>
    <row r="46" spans="2:10" ht="15">
      <c r="B46" s="399"/>
      <c r="C46" s="553"/>
      <c r="D46" s="558"/>
      <c r="E46" s="554"/>
      <c r="F46" s="555"/>
      <c r="G46" s="554"/>
      <c r="H46" s="587"/>
      <c r="I46" s="399"/>
      <c r="J46" s="554"/>
    </row>
    <row r="47" spans="2:11" ht="12.75">
      <c r="B47" s="399"/>
      <c r="C47" s="556"/>
      <c r="D47" s="557"/>
      <c r="E47" s="554"/>
      <c r="F47" s="554"/>
      <c r="G47" s="563"/>
      <c r="H47" s="558"/>
      <c r="I47" s="558"/>
      <c r="J47" s="554"/>
      <c r="K47" s="785"/>
    </row>
    <row r="48" spans="2:10" ht="12.75">
      <c r="B48" s="399"/>
      <c r="C48" s="556"/>
      <c r="D48" s="557"/>
      <c r="E48" s="554"/>
      <c r="F48" s="50"/>
      <c r="G48" s="554"/>
      <c r="H48" s="558"/>
      <c r="I48" s="558"/>
      <c r="J48" s="554"/>
    </row>
    <row r="49" spans="2:10" ht="12.75">
      <c r="B49" s="399"/>
      <c r="C49" s="556"/>
      <c r="D49" s="557"/>
      <c r="E49" s="559"/>
      <c r="F49" s="50"/>
      <c r="G49" s="559"/>
      <c r="H49" s="558"/>
      <c r="I49" s="558"/>
      <c r="J49" s="554"/>
    </row>
    <row r="50" spans="2:10" ht="12.75">
      <c r="B50" s="399"/>
      <c r="C50" s="553"/>
      <c r="D50" s="557"/>
      <c r="E50" s="554"/>
      <c r="F50" s="560"/>
      <c r="G50" s="554"/>
      <c r="H50" s="558"/>
      <c r="I50" s="558"/>
      <c r="J50" s="554"/>
    </row>
    <row r="51" spans="3:10" ht="12.75">
      <c r="C51" s="561"/>
      <c r="D51" s="562"/>
      <c r="E51" s="550"/>
      <c r="G51" s="550"/>
      <c r="H51" s="551"/>
      <c r="I51" s="551"/>
      <c r="J51" s="550"/>
    </row>
    <row r="52" spans="5:10" ht="12.75">
      <c r="E52" s="550"/>
      <c r="G52" s="550"/>
      <c r="H52" s="551"/>
      <c r="I52" s="551"/>
      <c r="J52" s="550"/>
    </row>
    <row r="53" spans="5:10" ht="12.75">
      <c r="E53" s="550"/>
      <c r="G53" s="550"/>
      <c r="H53" s="551"/>
      <c r="I53" s="551"/>
      <c r="J53" s="550"/>
    </row>
    <row r="54" spans="5:10" ht="12.75">
      <c r="E54" s="550"/>
      <c r="G54" s="550"/>
      <c r="H54" s="551"/>
      <c r="I54" s="551"/>
      <c r="J54" s="550"/>
    </row>
    <row r="55" spans="5:10" ht="12.75">
      <c r="E55" s="550"/>
      <c r="G55" s="550"/>
      <c r="H55" s="551"/>
      <c r="I55" s="551"/>
      <c r="J55" s="550"/>
    </row>
  </sheetData>
  <sheetProtection password="D6C3" sheet="1"/>
  <mergeCells count="5">
    <mergeCell ref="A3:E3"/>
    <mergeCell ref="P4:S4"/>
    <mergeCell ref="J4:N4"/>
    <mergeCell ref="G4:H4"/>
    <mergeCell ref="D4:E4"/>
  </mergeCells>
  <printOptions/>
  <pageMargins left="0.7480314960629921" right="0.7480314960629921" top="0.984251968503937" bottom="0.984251968503937" header="0.5118110236220472" footer="0.5118110236220472"/>
  <pageSetup fitToHeight="1" fitToWidth="1" horizontalDpi="600" verticalDpi="600" orientation="landscape" scale="53" r:id="rId3"/>
  <headerFooter alignWithMargins="0">
    <oddFooter>&amp;L&amp;12Steward Fee-Setting&amp;R&amp;12Stewardship Ontario, 
November, 2013</oddFooter>
  </headerFooter>
  <legacyDrawing r:id="rId2"/>
</worksheet>
</file>

<file path=xl/worksheets/sheet5.xml><?xml version="1.0" encoding="utf-8"?>
<worksheet xmlns="http://schemas.openxmlformats.org/spreadsheetml/2006/main" xmlns:r="http://schemas.openxmlformats.org/officeDocument/2006/relationships">
  <sheetPr codeName="Sheet7">
    <tabColor indexed="18"/>
    <pageSetUpPr fitToPage="1"/>
  </sheetPr>
  <dimension ref="A1:AC72"/>
  <sheetViews>
    <sheetView showGridLines="0" zoomScale="80" zoomScaleNormal="80" zoomScalePageLayoutView="0" workbookViewId="0" topLeftCell="A1">
      <pane xSplit="2" ySplit="6" topLeftCell="C7" activePane="bottomRight" state="frozen"/>
      <selection pane="topLeft" activeCell="L44" sqref="L44"/>
      <selection pane="topRight" activeCell="L44" sqref="L44"/>
      <selection pane="bottomLeft" activeCell="L44" sqref="L44"/>
      <selection pane="bottomRight" activeCell="C7" sqref="C7"/>
    </sheetView>
  </sheetViews>
  <sheetFormatPr defaultColWidth="9.140625" defaultRowHeight="12.75"/>
  <cols>
    <col min="1" max="1" width="26.8515625" style="3" customWidth="1"/>
    <col min="2" max="2" width="31.00390625" style="2" customWidth="1"/>
    <col min="3" max="6" width="15.421875" style="2" customWidth="1"/>
    <col min="7" max="10" width="15.421875" style="5" customWidth="1"/>
    <col min="11" max="13" width="15.421875" style="2" customWidth="1"/>
    <col min="14" max="14" width="15.421875" style="5" customWidth="1"/>
    <col min="15" max="15" width="15.421875" style="2" customWidth="1"/>
    <col min="16" max="16" width="17.8515625" style="2" bestFit="1" customWidth="1"/>
    <col min="17" max="17" width="15.421875" style="2" customWidth="1"/>
    <col min="18" max="20" width="15.421875" style="99" customWidth="1"/>
    <col min="21" max="21" width="15.421875" style="348" customWidth="1"/>
    <col min="22" max="22" width="18.7109375" style="2" bestFit="1" customWidth="1"/>
    <col min="23" max="27" width="15.421875" style="2" customWidth="1"/>
    <col min="28" max="28" width="3.421875" style="2" customWidth="1"/>
    <col min="29" max="16384" width="9.140625" style="2" customWidth="1"/>
  </cols>
  <sheetData>
    <row r="1" spans="1:25" s="754" customFormat="1" ht="26.25">
      <c r="A1" s="424" t="s">
        <v>108</v>
      </c>
      <c r="C1" s="755"/>
      <c r="E1" s="756"/>
      <c r="G1" s="757"/>
      <c r="H1" s="757"/>
      <c r="I1" s="757"/>
      <c r="J1" s="757"/>
      <c r="N1" s="757"/>
      <c r="P1" s="758"/>
      <c r="Y1" s="758"/>
    </row>
    <row r="2" spans="1:21" ht="24.75" customHeight="1" thickBot="1">
      <c r="A2" s="943"/>
      <c r="B2" s="943"/>
      <c r="C2" s="733"/>
      <c r="D2" s="733"/>
      <c r="E2" s="733"/>
      <c r="F2" s="733"/>
      <c r="G2" s="794"/>
      <c r="H2" s="733"/>
      <c r="I2" s="733"/>
      <c r="J2" s="2"/>
      <c r="K2" s="98"/>
      <c r="L2" s="5"/>
      <c r="N2" s="3"/>
      <c r="R2" s="2"/>
      <c r="S2" s="292"/>
      <c r="T2" s="292"/>
      <c r="U2" s="2"/>
    </row>
    <row r="3" spans="1:27" ht="16.5" thickBot="1">
      <c r="A3" s="434"/>
      <c r="B3" s="5"/>
      <c r="C3" s="952" t="s">
        <v>54</v>
      </c>
      <c r="D3" s="953"/>
      <c r="E3" s="953"/>
      <c r="F3" s="954"/>
      <c r="G3" s="927" t="s">
        <v>30</v>
      </c>
      <c r="H3" s="928"/>
      <c r="I3" s="929"/>
      <c r="J3" s="955" t="s">
        <v>31</v>
      </c>
      <c r="K3" s="956"/>
      <c r="L3" s="957"/>
      <c r="N3" s="3"/>
      <c r="Q3" s="369"/>
      <c r="R3" s="2"/>
      <c r="S3" s="292"/>
      <c r="T3" s="292"/>
      <c r="U3" s="2"/>
      <c r="Z3" s="942"/>
      <c r="AA3" s="942"/>
    </row>
    <row r="4" spans="1:27" s="304" customFormat="1" ht="64.5" customHeight="1">
      <c r="A4" s="435" t="s">
        <v>19</v>
      </c>
      <c r="B4" s="433" t="s">
        <v>15</v>
      </c>
      <c r="C4" s="944" t="s">
        <v>92</v>
      </c>
      <c r="D4" s="946" t="s">
        <v>70</v>
      </c>
      <c r="E4" s="938" t="s">
        <v>77</v>
      </c>
      <c r="F4" s="948" t="s">
        <v>195</v>
      </c>
      <c r="G4" s="950" t="s">
        <v>12</v>
      </c>
      <c r="H4" s="932" t="s">
        <v>78</v>
      </c>
      <c r="I4" s="936" t="s">
        <v>196</v>
      </c>
      <c r="J4" s="940" t="s">
        <v>129</v>
      </c>
      <c r="K4" s="930" t="s">
        <v>79</v>
      </c>
      <c r="L4" s="934" t="s">
        <v>197</v>
      </c>
      <c r="M4" s="925" t="s">
        <v>80</v>
      </c>
      <c r="N4" s="921" t="s">
        <v>198</v>
      </c>
      <c r="O4" s="923" t="s">
        <v>199</v>
      </c>
      <c r="P4" s="962" t="s">
        <v>81</v>
      </c>
      <c r="Q4" s="964" t="s">
        <v>150</v>
      </c>
      <c r="R4" s="960" t="s">
        <v>103</v>
      </c>
      <c r="S4" s="728" t="s">
        <v>114</v>
      </c>
      <c r="T4" s="728" t="s">
        <v>115</v>
      </c>
      <c r="U4" s="960" t="s">
        <v>132</v>
      </c>
      <c r="V4" s="960" t="s">
        <v>130</v>
      </c>
      <c r="W4" s="356" t="s">
        <v>190</v>
      </c>
      <c r="X4" s="958" t="s">
        <v>118</v>
      </c>
      <c r="Y4" s="959"/>
      <c r="Z4" s="958" t="s">
        <v>119</v>
      </c>
      <c r="AA4" s="959"/>
    </row>
    <row r="5" spans="1:27" s="304" customFormat="1" ht="42" customHeight="1" thickBot="1">
      <c r="A5" s="296"/>
      <c r="B5" s="357"/>
      <c r="C5" s="945"/>
      <c r="D5" s="947"/>
      <c r="E5" s="939"/>
      <c r="F5" s="949"/>
      <c r="G5" s="951"/>
      <c r="H5" s="933"/>
      <c r="I5" s="937"/>
      <c r="J5" s="941"/>
      <c r="K5" s="931"/>
      <c r="L5" s="935"/>
      <c r="M5" s="926"/>
      <c r="N5" s="922"/>
      <c r="O5" s="924"/>
      <c r="P5" s="963"/>
      <c r="Q5" s="965"/>
      <c r="R5" s="961"/>
      <c r="S5" s="729"/>
      <c r="T5" s="729"/>
      <c r="U5" s="961"/>
      <c r="V5" s="961"/>
      <c r="W5" s="367" t="s">
        <v>58</v>
      </c>
      <c r="X5" s="468" t="s">
        <v>17</v>
      </c>
      <c r="Y5" s="469" t="s">
        <v>62</v>
      </c>
      <c r="Z5" s="468" t="s">
        <v>17</v>
      </c>
      <c r="AA5" s="469" t="s">
        <v>62</v>
      </c>
    </row>
    <row r="6" spans="1:27" s="3" customFormat="1" ht="16.5" thickBot="1">
      <c r="A6" s="105"/>
      <c r="B6" s="608" t="s">
        <v>18</v>
      </c>
      <c r="C6" s="614">
        <f>Inputs!B4/100</f>
        <v>0.35</v>
      </c>
      <c r="D6" s="865"/>
      <c r="E6" s="106"/>
      <c r="F6" s="609"/>
      <c r="G6" s="872">
        <f>Inputs!B5/100</f>
        <v>0.4</v>
      </c>
      <c r="H6" s="611"/>
      <c r="I6" s="610"/>
      <c r="J6" s="880">
        <f>Inputs!B6/100</f>
        <v>0.25</v>
      </c>
      <c r="K6" s="612"/>
      <c r="L6" s="107"/>
      <c r="M6" s="108"/>
      <c r="N6" s="384"/>
      <c r="O6" s="110">
        <f>Parameters!B14</f>
        <v>4989415</v>
      </c>
      <c r="P6" s="111"/>
      <c r="Q6" s="112"/>
      <c r="R6" s="113"/>
      <c r="S6" s="370"/>
      <c r="T6" s="370"/>
      <c r="U6" s="113"/>
      <c r="V6" s="113"/>
      <c r="W6" s="358"/>
      <c r="X6" s="105"/>
      <c r="Y6" s="4"/>
      <c r="Z6" s="114"/>
      <c r="AA6" s="115"/>
    </row>
    <row r="7" spans="1:27" s="55" customFormat="1" ht="15" customHeight="1">
      <c r="A7" s="116" t="s">
        <v>34</v>
      </c>
      <c r="B7" s="117"/>
      <c r="C7" s="613"/>
      <c r="D7" s="866"/>
      <c r="E7" s="120"/>
      <c r="F7" s="121"/>
      <c r="G7" s="873"/>
      <c r="H7" s="122"/>
      <c r="I7" s="123"/>
      <c r="J7" s="881"/>
      <c r="K7" s="124"/>
      <c r="L7" s="125"/>
      <c r="M7" s="126"/>
      <c r="N7" s="385"/>
      <c r="O7" s="127"/>
      <c r="P7" s="128"/>
      <c r="Q7" s="129"/>
      <c r="R7" s="130"/>
      <c r="S7" s="423"/>
      <c r="T7" s="423"/>
      <c r="U7" s="130"/>
      <c r="V7" s="130"/>
      <c r="W7" s="359"/>
      <c r="X7" s="683"/>
      <c r="Y7" s="674"/>
      <c r="Z7" s="131"/>
      <c r="AA7" s="132"/>
    </row>
    <row r="8" spans="1:29" s="55" customFormat="1" ht="15" customHeight="1">
      <c r="A8" s="133" t="s">
        <v>0</v>
      </c>
      <c r="B8" s="23" t="s">
        <v>83</v>
      </c>
      <c r="C8" s="568">
        <f>'Sheet 1 Gen &amp; Rec'!H7</f>
        <v>13685.547106179321</v>
      </c>
      <c r="D8" s="867">
        <f aca="true" t="shared" si="0" ref="D8:D13">C8/$C$13</f>
        <v>0.12349589823804048</v>
      </c>
      <c r="E8" s="134">
        <f>D8*$E$40</f>
        <v>887209.3189192727</v>
      </c>
      <c r="F8" s="135">
        <f aca="true" t="shared" si="1" ref="F8:F13">E8/W8</f>
        <v>5.544251253219449</v>
      </c>
      <c r="G8" s="874">
        <f>'Sheet 2 Gross &amp; Net Costs'!M7</f>
        <v>0.42343990554462474</v>
      </c>
      <c r="H8" s="136">
        <f aca="true" t="shared" si="2" ref="H8:H13">G8*H$40</f>
        <v>3476620.5477169156</v>
      </c>
      <c r="I8" s="137">
        <f aca="true" t="shared" si="3" ref="I8:I13">H8/W8</f>
        <v>21.72571615019505</v>
      </c>
      <c r="J8" s="882">
        <f>'Sheet 2 Gross &amp; Net Costs'!R7</f>
        <v>0</v>
      </c>
      <c r="K8" s="138">
        <f aca="true" t="shared" si="4" ref="K8:K13">J8*K$40</f>
        <v>0</v>
      </c>
      <c r="L8" s="139">
        <f aca="true" t="shared" si="5" ref="L8:L13">K8/W8</f>
        <v>0</v>
      </c>
      <c r="M8" s="140">
        <f aca="true" t="shared" si="6" ref="M8:M13">K8+E8+H8</f>
        <v>4363829.866636189</v>
      </c>
      <c r="N8" s="386">
        <f aca="true" t="shared" si="7" ref="N8:N13">M8/W8</f>
        <v>27.269967403414505</v>
      </c>
      <c r="O8" s="141">
        <f>O$6*'Sheet 1 Gen &amp; Rec'!$O7</f>
        <v>323605.2815673568</v>
      </c>
      <c r="P8" s="142">
        <f>SUM(M8,O8:O8)</f>
        <v>4687435.148203545</v>
      </c>
      <c r="Q8" s="143">
        <f>M8</f>
        <v>4363829.866636189</v>
      </c>
      <c r="R8" s="144">
        <f>P8-Q8</f>
        <v>323605.28156735655</v>
      </c>
      <c r="S8" s="372">
        <f aca="true" t="shared" si="8" ref="S8:S13">M8</f>
        <v>4363829.866636189</v>
      </c>
      <c r="T8" s="372">
        <f>SUM(O8:O8)</f>
        <v>323605.2815673568</v>
      </c>
      <c r="U8" s="144">
        <f>R8</f>
        <v>323605.28156735655</v>
      </c>
      <c r="V8" s="144">
        <f>R8+Q8</f>
        <v>4687435.148203545</v>
      </c>
      <c r="W8" s="360">
        <f>+VLOOKUP(B8,Parameters!$D$6:$E$28,2,0)</f>
        <v>160023.2887</v>
      </c>
      <c r="X8" s="684">
        <f>U8/W8</f>
        <v>2.0222386641111227</v>
      </c>
      <c r="Y8" s="675">
        <f>X8/1000*100</f>
        <v>0.20222386641111229</v>
      </c>
      <c r="Z8" s="145">
        <f aca="true" t="shared" si="9" ref="Z8:Z13">V8/W8</f>
        <v>29.292206067525626</v>
      </c>
      <c r="AA8" s="146">
        <f>Z8/1000*100</f>
        <v>2.9292206067525624</v>
      </c>
      <c r="AB8" s="739"/>
      <c r="AC8" s="814"/>
    </row>
    <row r="9" spans="1:29" s="55" customFormat="1" ht="15" customHeight="1">
      <c r="A9" s="147"/>
      <c r="B9" s="25" t="s">
        <v>64</v>
      </c>
      <c r="C9" s="568">
        <f>'Sheet 1 Gen &amp; Rec'!H8</f>
        <v>9343.349181410915</v>
      </c>
      <c r="D9" s="867">
        <f t="shared" si="0"/>
        <v>0.08431269066247311</v>
      </c>
      <c r="E9" s="134">
        <f>D9*$E$40</f>
        <v>605712.4643501925</v>
      </c>
      <c r="F9" s="135">
        <f t="shared" si="1"/>
        <v>5.242298461494198</v>
      </c>
      <c r="G9" s="874">
        <f>'Sheet 2 Gross &amp; Net Costs'!M8</f>
        <v>0.2890894214277124</v>
      </c>
      <c r="H9" s="136">
        <f t="shared" si="2"/>
        <v>2373546.303744064</v>
      </c>
      <c r="I9" s="137">
        <f t="shared" si="3"/>
        <v>20.54248322221899</v>
      </c>
      <c r="J9" s="882">
        <f>'Sheet 2 Gross &amp; Net Costs'!R8</f>
        <v>0</v>
      </c>
      <c r="K9" s="138">
        <f t="shared" si="4"/>
        <v>0</v>
      </c>
      <c r="L9" s="139">
        <f t="shared" si="5"/>
        <v>0</v>
      </c>
      <c r="M9" s="140">
        <f t="shared" si="6"/>
        <v>2979258.7680942565</v>
      </c>
      <c r="N9" s="386">
        <f t="shared" si="7"/>
        <v>25.784781683713188</v>
      </c>
      <c r="O9" s="141">
        <f>O$6*'Sheet 1 Gen &amp; Rec'!$O8</f>
        <v>221075.44648775007</v>
      </c>
      <c r="P9" s="142">
        <f>SUM(M9,O9:O9)</f>
        <v>3200334.2145820064</v>
      </c>
      <c r="Q9" s="148"/>
      <c r="R9" s="144">
        <f>P9-Q9</f>
        <v>3200334.2145820064</v>
      </c>
      <c r="S9" s="372">
        <f t="shared" si="8"/>
        <v>2979258.7680942565</v>
      </c>
      <c r="T9" s="372">
        <f>SUM(O9:O9)</f>
        <v>221075.44648775007</v>
      </c>
      <c r="U9" s="144">
        <f>R9</f>
        <v>3200334.2145820064</v>
      </c>
      <c r="V9" s="144">
        <f>R9+Q9</f>
        <v>3200334.2145820064</v>
      </c>
      <c r="W9" s="360">
        <f>+VLOOKUP(B9,Parameters!$D$6:$E$28,2,0)</f>
        <v>115543.30010000001</v>
      </c>
      <c r="X9" s="684">
        <f>U9/W9</f>
        <v>27.698137510458785</v>
      </c>
      <c r="Y9" s="676">
        <f>X9/1000*100</f>
        <v>2.7698137510458785</v>
      </c>
      <c r="Z9" s="145">
        <f t="shared" si="9"/>
        <v>27.698137510458785</v>
      </c>
      <c r="AA9" s="153">
        <f>Z9/1000*100</f>
        <v>2.7698137510458785</v>
      </c>
      <c r="AB9" s="738"/>
      <c r="AC9" s="814"/>
    </row>
    <row r="10" spans="1:29" s="99" customFormat="1" ht="15" customHeight="1">
      <c r="A10" s="22"/>
      <c r="B10" s="149" t="s">
        <v>3</v>
      </c>
      <c r="C10" s="568">
        <f>'Sheet 1 Gen &amp; Rec'!H9</f>
        <v>17132.081614149894</v>
      </c>
      <c r="D10" s="867">
        <f t="shared" si="0"/>
        <v>0.15459680137095552</v>
      </c>
      <c r="E10" s="134">
        <f>D10*$E$40</f>
        <v>1110641.9306902469</v>
      </c>
      <c r="F10" s="150">
        <f t="shared" si="1"/>
        <v>27.87297387280267</v>
      </c>
      <c r="G10" s="874">
        <f>'Sheet 2 Gross &amp; Net Costs'!M9</f>
        <v>0.12842339099252623</v>
      </c>
      <c r="H10" s="136">
        <f t="shared" si="2"/>
        <v>1054410.30494715</v>
      </c>
      <c r="I10" s="151">
        <f t="shared" si="3"/>
        <v>26.461769602684328</v>
      </c>
      <c r="J10" s="882">
        <f>'Sheet 2 Gross &amp; Net Costs'!R9</f>
        <v>0</v>
      </c>
      <c r="K10" s="138">
        <f t="shared" si="4"/>
        <v>0</v>
      </c>
      <c r="L10" s="152">
        <f t="shared" si="5"/>
        <v>0</v>
      </c>
      <c r="M10" s="140">
        <f t="shared" si="6"/>
        <v>2165052.2356373966</v>
      </c>
      <c r="N10" s="387">
        <f t="shared" si="7"/>
        <v>54.33474347548699</v>
      </c>
      <c r="O10" s="141">
        <f>O$6*'Sheet 1 Gen &amp; Rec'!$O9</f>
        <v>109736.83640147376</v>
      </c>
      <c r="P10" s="142">
        <f>SUM(M10,O10:O10)</f>
        <v>2274789.0720388703</v>
      </c>
      <c r="Q10" s="148"/>
      <c r="R10" s="144">
        <f>P10-Q10</f>
        <v>2274789.0720388703</v>
      </c>
      <c r="S10" s="372">
        <f t="shared" si="8"/>
        <v>2165052.2356373966</v>
      </c>
      <c r="T10" s="372">
        <f>SUM(O10:O10)</f>
        <v>109736.83640147376</v>
      </c>
      <c r="U10" s="144">
        <f>R10</f>
        <v>2274789.0720388703</v>
      </c>
      <c r="V10" s="144">
        <f>R10+Q10</f>
        <v>2274789.0720388703</v>
      </c>
      <c r="W10" s="360">
        <f>+VLOOKUP(B10,Parameters!$D$6:$E$28,2,0)</f>
        <v>39846.553</v>
      </c>
      <c r="X10" s="684">
        <f>U10/W10</f>
        <v>57.08872915654386</v>
      </c>
      <c r="Y10" s="676">
        <f>X10/1000*100</f>
        <v>5.7088729156543865</v>
      </c>
      <c r="Z10" s="145">
        <f t="shared" si="9"/>
        <v>57.08872915654386</v>
      </c>
      <c r="AA10" s="153">
        <f aca="true" t="shared" si="10" ref="AA10:AA37">Z10/1000*100</f>
        <v>5.7088729156543865</v>
      </c>
      <c r="AB10" s="737"/>
      <c r="AC10" s="814"/>
    </row>
    <row r="11" spans="1:29" s="99" customFormat="1" ht="15" customHeight="1">
      <c r="A11" s="27"/>
      <c r="B11" s="154" t="s">
        <v>1</v>
      </c>
      <c r="C11" s="568">
        <f>'Sheet 1 Gen &amp; Rec'!H10</f>
        <v>361.0738422858467</v>
      </c>
      <c r="D11" s="867">
        <f t="shared" si="0"/>
        <v>0.0032582649518788573</v>
      </c>
      <c r="E11" s="134">
        <f>D11*$E$40</f>
        <v>23407.765521434423</v>
      </c>
      <c r="F11" s="150">
        <f t="shared" si="1"/>
        <v>5.192932536465126</v>
      </c>
      <c r="G11" s="874">
        <f>'Sheet 2 Gross &amp; Net Costs'!M10</f>
        <v>0.02315043938518509</v>
      </c>
      <c r="H11" s="155">
        <f t="shared" si="2"/>
        <v>190074.88949746</v>
      </c>
      <c r="I11" s="151">
        <f t="shared" si="3"/>
        <v>42.16746263681334</v>
      </c>
      <c r="J11" s="882">
        <f>'Sheet 2 Gross &amp; Net Costs'!R10</f>
        <v>0</v>
      </c>
      <c r="K11" s="156">
        <f t="shared" si="4"/>
        <v>0</v>
      </c>
      <c r="L11" s="152">
        <f t="shared" si="5"/>
        <v>0</v>
      </c>
      <c r="M11" s="157">
        <f t="shared" si="6"/>
        <v>213482.65501889444</v>
      </c>
      <c r="N11" s="387">
        <f t="shared" si="7"/>
        <v>47.36039517327847</v>
      </c>
      <c r="O11" s="141">
        <f>O$6*'Sheet 1 Gen &amp; Rec'!$O10</f>
        <v>11582.942027167139</v>
      </c>
      <c r="P11" s="142">
        <f>SUM(M11,O11:O11)</f>
        <v>225065.59704606156</v>
      </c>
      <c r="Q11" s="148"/>
      <c r="R11" s="144">
        <f>P11-Q11</f>
        <v>225065.59704606156</v>
      </c>
      <c r="S11" s="372">
        <f t="shared" si="8"/>
        <v>213482.65501889444</v>
      </c>
      <c r="T11" s="372">
        <f>SUM(O11:O11)</f>
        <v>11582.942027167139</v>
      </c>
      <c r="U11" s="144">
        <f>R11</f>
        <v>225065.59704606156</v>
      </c>
      <c r="V11" s="144">
        <f>R11+Q11</f>
        <v>225065.59704606156</v>
      </c>
      <c r="W11" s="360">
        <f>+VLOOKUP(B11,Parameters!$D$6:$E$28,2,0)</f>
        <v>4507.6197999999995</v>
      </c>
      <c r="X11" s="684">
        <f>U11/W11</f>
        <v>49.93003115437145</v>
      </c>
      <c r="Y11" s="676">
        <f>X11/1000*100</f>
        <v>4.993003115437144</v>
      </c>
      <c r="Z11" s="159">
        <f t="shared" si="9"/>
        <v>49.93003115437145</v>
      </c>
      <c r="AA11" s="160">
        <f t="shared" si="10"/>
        <v>4.993003115437144</v>
      </c>
      <c r="AC11" s="814"/>
    </row>
    <row r="12" spans="1:29" s="99" customFormat="1" ht="15" customHeight="1">
      <c r="A12" s="29"/>
      <c r="B12" s="161" t="s">
        <v>2</v>
      </c>
      <c r="C12" s="568">
        <f>'Sheet 1 Gen &amp; Rec'!H11</f>
        <v>70295.77541813767</v>
      </c>
      <c r="D12" s="868">
        <f t="shared" si="0"/>
        <v>0.6343363447766519</v>
      </c>
      <c r="E12" s="134">
        <f>D12*$E$40</f>
        <v>4557148.249007012</v>
      </c>
      <c r="F12" s="187">
        <f t="shared" si="1"/>
        <v>81.72998398030742</v>
      </c>
      <c r="G12" s="875">
        <f>'Sheet 2 Gross &amp; Net Costs'!M11</f>
        <v>0.13589684264995147</v>
      </c>
      <c r="H12" s="162">
        <f t="shared" si="2"/>
        <v>1115770.50093802</v>
      </c>
      <c r="I12" s="189">
        <f t="shared" si="3"/>
        <v>20.010739213330265</v>
      </c>
      <c r="J12" s="883">
        <f>'Sheet 2 Gross &amp; Net Costs'!R11</f>
        <v>1</v>
      </c>
      <c r="K12" s="163">
        <f t="shared" si="4"/>
        <v>5131514.091777257</v>
      </c>
      <c r="L12" s="191">
        <f t="shared" si="5"/>
        <v>92.03092407780734</v>
      </c>
      <c r="M12" s="164">
        <f t="shared" si="6"/>
        <v>10804432.84172229</v>
      </c>
      <c r="N12" s="389">
        <f t="shared" si="7"/>
        <v>193.77164727144503</v>
      </c>
      <c r="O12" s="458">
        <f>O$6*'Sheet 1 Gen &amp; Rec'!$O11</f>
        <v>276998.92851625226</v>
      </c>
      <c r="P12" s="142">
        <f>SUM(M12,O12:O12)</f>
        <v>11081431.770238541</v>
      </c>
      <c r="Q12" s="466"/>
      <c r="R12" s="219">
        <f>P12-Q12</f>
        <v>11081431.770238541</v>
      </c>
      <c r="S12" s="730">
        <f t="shared" si="8"/>
        <v>10804432.84172229</v>
      </c>
      <c r="T12" s="730">
        <f>SUM(O12:O12)</f>
        <v>276998.92851625226</v>
      </c>
      <c r="U12" s="144">
        <f>R12</f>
        <v>11081431.770238541</v>
      </c>
      <c r="V12" s="144">
        <f>R12+Q12</f>
        <v>11081431.770238541</v>
      </c>
      <c r="W12" s="360">
        <f>+VLOOKUP(B12,Parameters!$D$6:$E$28,2,0)</f>
        <v>55758.58488</v>
      </c>
      <c r="X12" s="684">
        <f>U12/W12</f>
        <v>198.739472927573</v>
      </c>
      <c r="Y12" s="677">
        <f>X12/1000*100</f>
        <v>19.8739472927573</v>
      </c>
      <c r="Z12" s="166">
        <f t="shared" si="9"/>
        <v>198.739472927573</v>
      </c>
      <c r="AA12" s="167">
        <f t="shared" si="10"/>
        <v>19.8739472927573</v>
      </c>
      <c r="AC12" s="814"/>
    </row>
    <row r="13" spans="1:27" s="55" customFormat="1" ht="15" customHeight="1" thickBot="1">
      <c r="A13" s="168" t="s">
        <v>0</v>
      </c>
      <c r="B13" s="169"/>
      <c r="C13" s="569">
        <f>'Sheet 1 Gen &amp; Rec'!H12</f>
        <v>110817.82716216365</v>
      </c>
      <c r="D13" s="869">
        <f t="shared" si="0"/>
        <v>1</v>
      </c>
      <c r="E13" s="170">
        <f>E40</f>
        <v>7184119.728488159</v>
      </c>
      <c r="F13" s="171">
        <f t="shared" si="1"/>
        <v>19.123009544711874</v>
      </c>
      <c r="G13" s="876">
        <f>'Sheet 2 Gross &amp; Net Costs'!M12</f>
        <v>1</v>
      </c>
      <c r="H13" s="172">
        <f t="shared" si="2"/>
        <v>8210422.546843611</v>
      </c>
      <c r="I13" s="173">
        <f t="shared" si="3"/>
        <v>21.854868051099285</v>
      </c>
      <c r="J13" s="884">
        <f>'Sheet 2 Gross &amp; Net Costs'!R12</f>
        <v>1</v>
      </c>
      <c r="K13" s="174">
        <f t="shared" si="4"/>
        <v>5131514.091777257</v>
      </c>
      <c r="L13" s="175">
        <f t="shared" si="5"/>
        <v>13.659292531937053</v>
      </c>
      <c r="M13" s="176">
        <f t="shared" si="6"/>
        <v>20526056.367109027</v>
      </c>
      <c r="N13" s="388">
        <f t="shared" si="7"/>
        <v>54.63717012774821</v>
      </c>
      <c r="O13" s="177">
        <f>SUM(O8:O12)</f>
        <v>942999.435</v>
      </c>
      <c r="P13" s="178">
        <f>SUM(P8:P12)</f>
        <v>21469055.802109025</v>
      </c>
      <c r="Q13" s="179">
        <f aca="true" t="shared" si="11" ref="Q13:W13">SUM(Q8:Q12)</f>
        <v>4363829.866636189</v>
      </c>
      <c r="R13" s="180">
        <f>SUM(R8:R12)</f>
        <v>17105225.935472835</v>
      </c>
      <c r="S13" s="180">
        <f t="shared" si="8"/>
        <v>20526056.367109027</v>
      </c>
      <c r="T13" s="180">
        <f>SUM(T8:T12)</f>
        <v>942999.435</v>
      </c>
      <c r="U13" s="180">
        <f t="shared" si="11"/>
        <v>17105225.935472835</v>
      </c>
      <c r="V13" s="180">
        <f t="shared" si="11"/>
        <v>21469055.802109025</v>
      </c>
      <c r="W13" s="361">
        <f t="shared" si="11"/>
        <v>375679.34648</v>
      </c>
      <c r="X13" s="685"/>
      <c r="Y13" s="678"/>
      <c r="Z13" s="181">
        <f t="shared" si="9"/>
        <v>57.14728798180544</v>
      </c>
      <c r="AA13" s="182">
        <f t="shared" si="10"/>
        <v>5.714728798180544</v>
      </c>
    </row>
    <row r="14" spans="1:27" s="55" customFormat="1" ht="6.75" customHeight="1" thickBot="1">
      <c r="A14" s="183"/>
      <c r="B14" s="184"/>
      <c r="C14" s="467"/>
      <c r="D14" s="870"/>
      <c r="E14" s="186"/>
      <c r="F14" s="187"/>
      <c r="G14" s="877"/>
      <c r="H14" s="188"/>
      <c r="I14" s="189"/>
      <c r="J14" s="885"/>
      <c r="K14" s="190"/>
      <c r="L14" s="191"/>
      <c r="M14" s="192"/>
      <c r="N14" s="389"/>
      <c r="O14" s="193"/>
      <c r="P14" s="194"/>
      <c r="Q14" s="195"/>
      <c r="R14" s="196"/>
      <c r="S14" s="730"/>
      <c r="T14" s="730"/>
      <c r="U14" s="196"/>
      <c r="V14" s="196"/>
      <c r="W14" s="362"/>
      <c r="X14" s="686"/>
      <c r="Y14" s="405"/>
      <c r="Z14" s="197"/>
      <c r="AA14" s="198"/>
    </row>
    <row r="15" spans="1:27" s="55" customFormat="1" ht="15" customHeight="1">
      <c r="A15" s="199" t="s">
        <v>33</v>
      </c>
      <c r="B15" s="200"/>
      <c r="C15" s="203"/>
      <c r="D15" s="871"/>
      <c r="E15" s="204"/>
      <c r="F15" s="205"/>
      <c r="G15" s="878"/>
      <c r="H15" s="206"/>
      <c r="I15" s="207"/>
      <c r="J15" s="886"/>
      <c r="K15" s="208"/>
      <c r="L15" s="209"/>
      <c r="M15" s="210"/>
      <c r="N15" s="390"/>
      <c r="O15" s="211"/>
      <c r="P15" s="212"/>
      <c r="Q15" s="213"/>
      <c r="R15" s="214"/>
      <c r="S15" s="371"/>
      <c r="T15" s="371"/>
      <c r="U15" s="214"/>
      <c r="V15" s="214"/>
      <c r="W15" s="363"/>
      <c r="X15" s="687"/>
      <c r="Y15" s="679"/>
      <c r="Z15" s="215"/>
      <c r="AA15" s="216"/>
    </row>
    <row r="16" spans="1:29" s="99" customFormat="1" ht="15" customHeight="1">
      <c r="A16" s="22" t="s">
        <v>48</v>
      </c>
      <c r="B16" s="149" t="s">
        <v>133</v>
      </c>
      <c r="C16" s="568">
        <f>'Sheet 1 Gen &amp; Rec'!H15</f>
        <v>24821.604351688817</v>
      </c>
      <c r="D16" s="867">
        <f aca="true" t="shared" si="12" ref="D16:D21">C16/$C$39</f>
        <v>0.0594029819800801</v>
      </c>
      <c r="E16" s="134">
        <f aca="true" t="shared" si="13" ref="E16:E38">D16*$E$41</f>
        <v>1631889.768859394</v>
      </c>
      <c r="F16" s="135">
        <f aca="true" t="shared" si="14" ref="F16:F38">E16/W16</f>
        <v>13.123862116539632</v>
      </c>
      <c r="G16" s="874">
        <f>'Sheet 2 Gross &amp; Net Costs'!N15</f>
        <v>0.33577671174894225</v>
      </c>
      <c r="H16" s="136">
        <f aca="true" t="shared" si="15" ref="H16:H38">G16*H$41</f>
        <v>10542050.48317215</v>
      </c>
      <c r="I16" s="137">
        <f aca="true" t="shared" si="16" ref="I16:I38">H16/W16</f>
        <v>84.78049167711399</v>
      </c>
      <c r="J16" s="882">
        <f>'Sheet 2 Gross &amp; Net Costs'!S15</f>
        <v>0</v>
      </c>
      <c r="K16" s="138">
        <f aca="true" t="shared" si="17" ref="K16:K38">J16*K$41</f>
        <v>0</v>
      </c>
      <c r="L16" s="139">
        <f aca="true" t="shared" si="18" ref="L16:L38">K16/W16</f>
        <v>0</v>
      </c>
      <c r="M16" s="140">
        <f aca="true" t="shared" si="19" ref="M16:M38">K16+E16+H16</f>
        <v>12173940.252031544</v>
      </c>
      <c r="N16" s="386">
        <f aca="true" t="shared" si="20" ref="N16:N38">M16/W16</f>
        <v>97.90435379365361</v>
      </c>
      <c r="O16" s="141">
        <f>O$6*'Sheet 1 Gen &amp; Rec'!$O15</f>
        <v>575384.7812985599</v>
      </c>
      <c r="P16" s="142">
        <f>SUM(M16,O16:O16)</f>
        <v>12749325.033330103</v>
      </c>
      <c r="Q16" s="148"/>
      <c r="R16" s="144">
        <f>P16-Q16</f>
        <v>12749325.033330103</v>
      </c>
      <c r="S16" s="372">
        <f aca="true" t="shared" si="21" ref="S16:S38">M16</f>
        <v>12173940.252031544</v>
      </c>
      <c r="T16" s="372">
        <f>SUM(O16:O16)</f>
        <v>575384.7812985599</v>
      </c>
      <c r="U16" s="144">
        <f>R16</f>
        <v>12749325.033330103</v>
      </c>
      <c r="V16" s="144">
        <f>R16+Q16</f>
        <v>12749325.033330103</v>
      </c>
      <c r="W16" s="364">
        <f>+VLOOKUP(B16,Parameters!$D$6:$E$28,2,0)</f>
        <v>124345.23879999999</v>
      </c>
      <c r="X16" s="684">
        <f aca="true" t="shared" si="22" ref="X16:X21">U16/W16</f>
        <v>102.53167034273373</v>
      </c>
      <c r="Y16" s="675">
        <f aca="true" t="shared" si="23" ref="Y16:Y21">X16/1000*100</f>
        <v>10.253167034273373</v>
      </c>
      <c r="Z16" s="217">
        <f aca="true" t="shared" si="24" ref="Z16:Z38">V16/W16</f>
        <v>102.53167034273373</v>
      </c>
      <c r="AA16" s="153">
        <f t="shared" si="10"/>
        <v>10.253167034273373</v>
      </c>
      <c r="AC16" s="814"/>
    </row>
    <row r="17" spans="1:29" s="99" customFormat="1" ht="15" customHeight="1">
      <c r="A17" s="22"/>
      <c r="B17" s="149" t="s">
        <v>135</v>
      </c>
      <c r="C17" s="568">
        <f>'Sheet 1 Gen &amp; Rec'!H16</f>
        <v>95989.71743663384</v>
      </c>
      <c r="D17" s="867">
        <f t="shared" si="12"/>
        <v>0.22972227638353207</v>
      </c>
      <c r="E17" s="134">
        <f t="shared" si="13"/>
        <v>6310818.413713419</v>
      </c>
      <c r="F17" s="150">
        <f t="shared" si="14"/>
        <v>39.73259976999839</v>
      </c>
      <c r="G17" s="874">
        <f>'Sheet 2 Gross &amp; Net Costs'!N16</f>
        <v>0.08618096022340758</v>
      </c>
      <c r="H17" s="136">
        <f t="shared" si="15"/>
        <v>2705738.6696987804</v>
      </c>
      <c r="I17" s="151">
        <f t="shared" si="16"/>
        <v>17.035196482874348</v>
      </c>
      <c r="J17" s="882">
        <f>'Sheet 2 Gross &amp; Net Costs'!S16</f>
        <v>0.03299253068838466</v>
      </c>
      <c r="K17" s="138">
        <f t="shared" si="17"/>
        <v>647396.2307290158</v>
      </c>
      <c r="L17" s="152">
        <f t="shared" si="18"/>
        <v>4.075974563341257</v>
      </c>
      <c r="M17" s="140">
        <f>K17+E17+H17</f>
        <v>9663953.314141214</v>
      </c>
      <c r="N17" s="387">
        <f t="shared" si="20"/>
        <v>60.84377081621398</v>
      </c>
      <c r="O17" s="141">
        <f>O$6*'Sheet 1 Gen &amp; Rec'!$O16</f>
        <v>513057.4345441384</v>
      </c>
      <c r="P17" s="142">
        <f>SUM(M17,O17:O17)</f>
        <v>10177010.748685353</v>
      </c>
      <c r="Q17" s="148"/>
      <c r="R17" s="144">
        <f>P17-Q17</f>
        <v>10177010.748685353</v>
      </c>
      <c r="S17" s="372">
        <f t="shared" si="21"/>
        <v>9663953.314141214</v>
      </c>
      <c r="T17" s="372">
        <f>SUM(O17:O17)</f>
        <v>513057.4345441384</v>
      </c>
      <c r="U17" s="144">
        <f>R17</f>
        <v>10177010.748685353</v>
      </c>
      <c r="V17" s="144">
        <f>R17+Q17</f>
        <v>10177010.748685353</v>
      </c>
      <c r="W17" s="364">
        <f>+VLOOKUP(B17,Parameters!$D$6:$E$28,2,0)</f>
        <v>158832.25488000014</v>
      </c>
      <c r="X17" s="684">
        <f>U17/W17</f>
        <v>64.0739549808332</v>
      </c>
      <c r="Y17" s="676">
        <f>X17/1000*100</f>
        <v>6.40739549808332</v>
      </c>
      <c r="Z17" s="217">
        <f>V17/W17</f>
        <v>64.0739549808332</v>
      </c>
      <c r="AA17" s="160">
        <f>Z17/1000*100</f>
        <v>6.40739549808332</v>
      </c>
      <c r="AC17" s="814"/>
    </row>
    <row r="18" spans="1:29" s="99" customFormat="1" ht="15" customHeight="1">
      <c r="A18" s="22"/>
      <c r="B18" s="149" t="s">
        <v>134</v>
      </c>
      <c r="C18" s="568">
        <f>'Sheet 1 Gen &amp; Rec'!H17</f>
        <v>7415.637426893485</v>
      </c>
      <c r="D18" s="867">
        <f t="shared" si="12"/>
        <v>0.01774707912506831</v>
      </c>
      <c r="E18" s="134">
        <f t="shared" si="13"/>
        <v>487539.1080711878</v>
      </c>
      <c r="F18" s="150">
        <f t="shared" si="14"/>
        <v>34.62074328495696</v>
      </c>
      <c r="G18" s="874">
        <f>'Sheet 2 Gross &amp; Net Costs'!N17</f>
        <v>0.046691842039746224</v>
      </c>
      <c r="H18" s="136">
        <f t="shared" si="15"/>
        <v>1465937.7458652924</v>
      </c>
      <c r="I18" s="151">
        <f t="shared" si="16"/>
        <v>104.0980170229139</v>
      </c>
      <c r="J18" s="882">
        <f>'Sheet 2 Gross &amp; Net Costs'!S17</f>
        <v>0.010043124332685904</v>
      </c>
      <c r="K18" s="138">
        <f t="shared" si="17"/>
        <v>197071.2977168728</v>
      </c>
      <c r="L18" s="152">
        <f t="shared" si="18"/>
        <v>13.99427183202082</v>
      </c>
      <c r="M18" s="140">
        <f t="shared" si="19"/>
        <v>2150548.151653353</v>
      </c>
      <c r="N18" s="387">
        <f t="shared" si="20"/>
        <v>152.71303213989168</v>
      </c>
      <c r="O18" s="141">
        <f>O$6*'Sheet 1 Gen &amp; Rec'!$O17</f>
        <v>65787.04393173965</v>
      </c>
      <c r="P18" s="142">
        <f>SUM(M18,O18:O18)</f>
        <v>2216335.195585093</v>
      </c>
      <c r="Q18" s="148"/>
      <c r="R18" s="144">
        <f>P18-Q18</f>
        <v>2216335.195585093</v>
      </c>
      <c r="S18" s="372">
        <f t="shared" si="21"/>
        <v>2150548.151653353</v>
      </c>
      <c r="T18" s="372">
        <f>SUM(O18:O18)</f>
        <v>65787.04393173965</v>
      </c>
      <c r="U18" s="144">
        <f>R18</f>
        <v>2216335.195585093</v>
      </c>
      <c r="V18" s="144">
        <f>R18+Q18</f>
        <v>2216335.195585093</v>
      </c>
      <c r="W18" s="364">
        <f>+VLOOKUP(B18,Parameters!$D$6:$E$28,2,0)</f>
        <v>14082.283099999997</v>
      </c>
      <c r="X18" s="684">
        <f t="shared" si="22"/>
        <v>157.3846499070235</v>
      </c>
      <c r="Y18" s="676">
        <f t="shared" si="23"/>
        <v>15.73846499070235</v>
      </c>
      <c r="Z18" s="217">
        <f t="shared" si="24"/>
        <v>157.3846499070235</v>
      </c>
      <c r="AA18" s="160">
        <f>Z18/1000*100</f>
        <v>15.73846499070235</v>
      </c>
      <c r="AC18" s="814"/>
    </row>
    <row r="19" spans="1:29" s="99" customFormat="1" ht="15" customHeight="1">
      <c r="A19" s="27"/>
      <c r="B19" s="154" t="s">
        <v>162</v>
      </c>
      <c r="C19" s="568">
        <f>'Sheet 1 Gen &amp; Rec'!H18</f>
        <v>37941.030600294725</v>
      </c>
      <c r="D19" s="867">
        <f t="shared" si="12"/>
        <v>0.09080034977278292</v>
      </c>
      <c r="E19" s="134">
        <f t="shared" si="13"/>
        <v>2494422.9542676406</v>
      </c>
      <c r="F19" s="150">
        <f t="shared" si="14"/>
        <v>99.6750140246673</v>
      </c>
      <c r="G19" s="874">
        <f>'Sheet 2 Gross &amp; Net Costs'!N18</f>
        <v>0.007734426325798553</v>
      </c>
      <c r="H19" s="155">
        <f t="shared" si="15"/>
        <v>242830.16043682158</v>
      </c>
      <c r="I19" s="151">
        <f t="shared" si="16"/>
        <v>9.703286127054861</v>
      </c>
      <c r="J19" s="882">
        <f>'Sheet 2 Gross &amp; Net Costs'!S18</f>
        <v>0.11664019918640546</v>
      </c>
      <c r="K19" s="156">
        <f t="shared" si="17"/>
        <v>2288773.3595818216</v>
      </c>
      <c r="L19" s="152">
        <f t="shared" si="18"/>
        <v>91.45743159767493</v>
      </c>
      <c r="M19" s="157">
        <f t="shared" si="19"/>
        <v>5026026.474286283</v>
      </c>
      <c r="N19" s="387">
        <f t="shared" si="20"/>
        <v>200.83573174939707</v>
      </c>
      <c r="O19" s="141">
        <f>O$6*'Sheet 1 Gen &amp; Rec'!$O18</f>
        <v>181011.18421238902</v>
      </c>
      <c r="P19" s="142">
        <f>SUM(M19,O19:O19)</f>
        <v>5207037.658498673</v>
      </c>
      <c r="Q19" s="158"/>
      <c r="R19" s="144">
        <f>P19-Q19</f>
        <v>5207037.658498673</v>
      </c>
      <c r="S19" s="372">
        <f t="shared" si="21"/>
        <v>5026026.474286283</v>
      </c>
      <c r="T19" s="372">
        <f>SUM(O19:O19)</f>
        <v>181011.18421238902</v>
      </c>
      <c r="U19" s="144">
        <f>R19</f>
        <v>5207037.658498673</v>
      </c>
      <c r="V19" s="144">
        <f>R19+Q19</f>
        <v>5207037.658498673</v>
      </c>
      <c r="W19" s="364">
        <f>+VLOOKUP(B19,Parameters!$D$6:$E$28,2,0)</f>
        <v>25025.559100000002</v>
      </c>
      <c r="X19" s="684">
        <f t="shared" si="22"/>
        <v>208.06878430534934</v>
      </c>
      <c r="Y19" s="676">
        <f t="shared" si="23"/>
        <v>20.806878430534933</v>
      </c>
      <c r="Z19" s="218">
        <f t="shared" si="24"/>
        <v>208.06878430534934</v>
      </c>
      <c r="AA19" s="160">
        <f>Z19/1000*100</f>
        <v>20.806878430534933</v>
      </c>
      <c r="AC19" s="814"/>
    </row>
    <row r="20" spans="1:29" s="99" customFormat="1" ht="15" customHeight="1">
      <c r="A20" s="29"/>
      <c r="B20" s="161" t="s">
        <v>5</v>
      </c>
      <c r="C20" s="568">
        <f>'Sheet 1 Gen &amp; Rec'!H19</f>
        <v>4865.101700814794</v>
      </c>
      <c r="D20" s="867">
        <f t="shared" si="12"/>
        <v>0.011643145405510225</v>
      </c>
      <c r="E20" s="134">
        <f t="shared" si="13"/>
        <v>319854.81589065463</v>
      </c>
      <c r="F20" s="150">
        <f t="shared" si="14"/>
        <v>54.9604133570256</v>
      </c>
      <c r="G20" s="874">
        <f>'Sheet 2 Gross &amp; Net Costs'!N19</f>
        <v>0.00525760958001654</v>
      </c>
      <c r="H20" s="162">
        <f t="shared" si="15"/>
        <v>165067.98617643706</v>
      </c>
      <c r="I20" s="151">
        <f t="shared" si="16"/>
        <v>28.363508384285783</v>
      </c>
      <c r="J20" s="882">
        <f>'Sheet 2 Gross &amp; Net Costs'!S19</f>
        <v>0.011967709204110902</v>
      </c>
      <c r="K20" s="163">
        <f t="shared" si="17"/>
        <v>234836.4816988729</v>
      </c>
      <c r="L20" s="152">
        <f t="shared" si="18"/>
        <v>40.35177669449852</v>
      </c>
      <c r="M20" s="164">
        <f t="shared" si="19"/>
        <v>719759.2837659647</v>
      </c>
      <c r="N20" s="387">
        <f t="shared" si="20"/>
        <v>123.6756984358099</v>
      </c>
      <c r="O20" s="141">
        <f>O$6*'Sheet 1 Gen &amp; Rec'!$O19</f>
        <v>26869.851013173116</v>
      </c>
      <c r="P20" s="142">
        <f>SUM(M20,O20:O20)</f>
        <v>746629.1347791378</v>
      </c>
      <c r="Q20" s="165"/>
      <c r="R20" s="144">
        <f>P20-Q20</f>
        <v>746629.1347791378</v>
      </c>
      <c r="S20" s="372">
        <f t="shared" si="21"/>
        <v>719759.2837659647</v>
      </c>
      <c r="T20" s="372">
        <f>SUM(O20:O20)</f>
        <v>26869.851013173116</v>
      </c>
      <c r="U20" s="144">
        <f>R20</f>
        <v>746629.1347791378</v>
      </c>
      <c r="V20" s="144">
        <f>R20+Q20</f>
        <v>746629.1347791378</v>
      </c>
      <c r="W20" s="364">
        <f>+VLOOKUP(B20,Parameters!$D$6:$E$28,2,0)</f>
        <v>5819.7309000000005</v>
      </c>
      <c r="X20" s="684">
        <f t="shared" si="22"/>
        <v>128.29272480264297</v>
      </c>
      <c r="Y20" s="676">
        <f t="shared" si="23"/>
        <v>12.829272480264297</v>
      </c>
      <c r="Z20" s="166">
        <f t="shared" si="24"/>
        <v>128.29272480264297</v>
      </c>
      <c r="AA20" s="160">
        <f>Z20/1000*100</f>
        <v>12.829272480264297</v>
      </c>
      <c r="AC20" s="814"/>
    </row>
    <row r="21" spans="1:27" s="55" customFormat="1" ht="15" customHeight="1" thickBot="1">
      <c r="A21" s="220" t="s">
        <v>48</v>
      </c>
      <c r="B21" s="221"/>
      <c r="C21" s="569">
        <f>'Sheet 1 Gen &amp; Rec'!H20</f>
        <v>171033.09151632566</v>
      </c>
      <c r="D21" s="869">
        <f t="shared" si="12"/>
        <v>0.40931583266697363</v>
      </c>
      <c r="E21" s="170">
        <f t="shared" si="13"/>
        <v>11244525.060802296</v>
      </c>
      <c r="F21" s="121">
        <f t="shared" si="14"/>
        <v>34.27111068766864</v>
      </c>
      <c r="G21" s="879">
        <f>'Sheet 2 Gross &amp; Net Costs'!N20</f>
        <v>0.4816415499179111</v>
      </c>
      <c r="H21" s="122">
        <f t="shared" si="15"/>
        <v>15121625.045349479</v>
      </c>
      <c r="I21" s="123">
        <f t="shared" si="16"/>
        <v>46.08775229761623</v>
      </c>
      <c r="J21" s="887">
        <f>'Sheet 2 Gross &amp; Net Costs'!S20</f>
        <v>0.17164356341158693</v>
      </c>
      <c r="K21" s="124">
        <f t="shared" si="17"/>
        <v>3368077.369726583</v>
      </c>
      <c r="L21" s="125">
        <f t="shared" si="18"/>
        <v>10.265240347491902</v>
      </c>
      <c r="M21" s="126">
        <f t="shared" si="19"/>
        <v>29734227.475878358</v>
      </c>
      <c r="N21" s="391">
        <f t="shared" si="20"/>
        <v>90.62410333277677</v>
      </c>
      <c r="O21" s="109">
        <f>SUM(O16:O20)</f>
        <v>1362110.295</v>
      </c>
      <c r="P21" s="222">
        <f>SUM(P16:P20)</f>
        <v>31096337.770878363</v>
      </c>
      <c r="Q21" s="223">
        <f>SUM(Q16:Q20)</f>
        <v>0</v>
      </c>
      <c r="R21" s="130">
        <f>SUM(R16:R20)</f>
        <v>31096337.770878363</v>
      </c>
      <c r="S21" s="130">
        <f t="shared" si="21"/>
        <v>29734227.475878358</v>
      </c>
      <c r="T21" s="130">
        <f>SUM(T16:T20)</f>
        <v>1362110.295</v>
      </c>
      <c r="U21" s="130">
        <f>SUM(U16:U20)</f>
        <v>31096337.770878363</v>
      </c>
      <c r="V21" s="130">
        <f>SUM(V16:V20)</f>
        <v>31096337.770878363</v>
      </c>
      <c r="W21" s="365">
        <f>SUM(W16:W20)</f>
        <v>328105.06678000017</v>
      </c>
      <c r="X21" s="685">
        <f t="shared" si="22"/>
        <v>94.77554880836074</v>
      </c>
      <c r="Y21" s="678">
        <f t="shared" si="23"/>
        <v>9.477554880836074</v>
      </c>
      <c r="Z21" s="181">
        <f t="shared" si="24"/>
        <v>94.77554880836074</v>
      </c>
      <c r="AA21" s="182">
        <f t="shared" si="10"/>
        <v>9.477554880836074</v>
      </c>
    </row>
    <row r="22" spans="1:29" s="99" customFormat="1" ht="15" customHeight="1">
      <c r="A22" s="224" t="s">
        <v>43</v>
      </c>
      <c r="B22" s="225" t="s">
        <v>136</v>
      </c>
      <c r="C22" s="568">
        <f>'Sheet 1 Gen &amp; Rec'!H21</f>
        <v>24147.04762449303</v>
      </c>
      <c r="D22" s="867">
        <f aca="true" t="shared" si="25" ref="D22:D27">C22/$C$39</f>
        <v>0.057788635036892806</v>
      </c>
      <c r="E22" s="134">
        <f t="shared" si="13"/>
        <v>1587541.2164439578</v>
      </c>
      <c r="F22" s="462">
        <f t="shared" si="14"/>
        <v>28.78533170733022</v>
      </c>
      <c r="G22" s="874">
        <f>'Sheet 2 Gross &amp; Net Costs'!N21</f>
        <v>0.17817168121426485</v>
      </c>
      <c r="H22" s="136">
        <f t="shared" si="15"/>
        <v>5593880.6722153565</v>
      </c>
      <c r="I22" s="463">
        <f t="shared" si="16"/>
        <v>101.42836545789088</v>
      </c>
      <c r="J22" s="882">
        <f>'Sheet 2 Gross &amp; Net Costs'!S21</f>
        <v>0.006570138336423703</v>
      </c>
      <c r="K22" s="138">
        <f t="shared" si="17"/>
        <v>128922.59871008898</v>
      </c>
      <c r="L22" s="464">
        <f t="shared" si="18"/>
        <v>2.3376273510262844</v>
      </c>
      <c r="M22" s="140">
        <f t="shared" si="19"/>
        <v>7310344.487369403</v>
      </c>
      <c r="N22" s="465">
        <f t="shared" si="20"/>
        <v>132.55132451624738</v>
      </c>
      <c r="O22" s="141">
        <f>O$6*'Sheet 1 Gen &amp; Rec'!$O21</f>
        <v>417314.58176523907</v>
      </c>
      <c r="P22" s="142">
        <f aca="true" t="shared" si="26" ref="P22:P27">SUM(M22,O22:O22)</f>
        <v>7727659.069134642</v>
      </c>
      <c r="Q22" s="148"/>
      <c r="R22" s="144">
        <f aca="true" t="shared" si="27" ref="R22:R27">P22-Q22</f>
        <v>7727659.069134642</v>
      </c>
      <c r="S22" s="372">
        <f t="shared" si="21"/>
        <v>7310344.487369403</v>
      </c>
      <c r="T22" s="372">
        <f aca="true" t="shared" si="28" ref="T22:T27">SUM(O22:O22)</f>
        <v>417314.58176523907</v>
      </c>
      <c r="U22" s="144">
        <f aca="true" t="shared" si="29" ref="U22:U27">R22</f>
        <v>7727659.069134642</v>
      </c>
      <c r="V22" s="144">
        <f aca="true" t="shared" si="30" ref="V22:V27">R22+Q22</f>
        <v>7727659.069134642</v>
      </c>
      <c r="W22" s="364">
        <f>+VLOOKUP(B22,Parameters!$D$6:$E$28,2,0)</f>
        <v>55151.04820000002</v>
      </c>
      <c r="X22" s="684">
        <f aca="true" t="shared" si="31" ref="X22:X28">U22/W22</f>
        <v>140.1180815478071</v>
      </c>
      <c r="Y22" s="675">
        <f aca="true" t="shared" si="32" ref="Y22:Y28">X22/1000*100</f>
        <v>14.011808154780708</v>
      </c>
      <c r="Z22" s="217">
        <f t="shared" si="24"/>
        <v>140.1180815478071</v>
      </c>
      <c r="AA22" s="153">
        <f t="shared" si="10"/>
        <v>14.011808154780708</v>
      </c>
      <c r="AC22" s="814"/>
    </row>
    <row r="23" spans="1:29" s="99" customFormat="1" ht="15" customHeight="1">
      <c r="A23" s="27"/>
      <c r="B23" s="149" t="s">
        <v>137</v>
      </c>
      <c r="C23" s="568">
        <f>'Sheet 1 Gen &amp; Rec'!H22</f>
        <v>11188.881562331695</v>
      </c>
      <c r="D23" s="867">
        <f t="shared" si="25"/>
        <v>0.02677719459254931</v>
      </c>
      <c r="E23" s="134">
        <f t="shared" si="13"/>
        <v>735610.0390547999</v>
      </c>
      <c r="F23" s="150">
        <f t="shared" si="14"/>
        <v>27.98810326489057</v>
      </c>
      <c r="G23" s="874">
        <f>'Sheet 2 Gross &amp; Net Costs'!N22</f>
        <v>0.07553096907965247</v>
      </c>
      <c r="H23" s="155">
        <f t="shared" si="15"/>
        <v>2371371.394201877</v>
      </c>
      <c r="I23" s="151">
        <f t="shared" si="16"/>
        <v>90.22468962714271</v>
      </c>
      <c r="J23" s="882">
        <f>'Sheet 2 Gross &amp; Net Costs'!S22</f>
        <v>0.0005906677320805418</v>
      </c>
      <c r="K23" s="156">
        <f t="shared" si="17"/>
        <v>11590.382895266204</v>
      </c>
      <c r="L23" s="152">
        <f t="shared" si="18"/>
        <v>0.4409847828737502</v>
      </c>
      <c r="M23" s="157">
        <f t="shared" si="19"/>
        <v>3118571.816151943</v>
      </c>
      <c r="N23" s="387">
        <f t="shared" si="20"/>
        <v>118.65377767490702</v>
      </c>
      <c r="O23" s="141">
        <f>O$6*'Sheet 1 Gen &amp; Rec'!$O22</f>
        <v>198311.71105718493</v>
      </c>
      <c r="P23" s="142">
        <f t="shared" si="26"/>
        <v>3316883.527209128</v>
      </c>
      <c r="Q23" s="158"/>
      <c r="R23" s="144">
        <f t="shared" si="27"/>
        <v>3316883.527209128</v>
      </c>
      <c r="S23" s="372">
        <f t="shared" si="21"/>
        <v>3118571.816151943</v>
      </c>
      <c r="T23" s="372">
        <f t="shared" si="28"/>
        <v>198311.71105718493</v>
      </c>
      <c r="U23" s="144">
        <f t="shared" si="29"/>
        <v>3316883.527209128</v>
      </c>
      <c r="V23" s="144">
        <f t="shared" si="30"/>
        <v>3316883.527209128</v>
      </c>
      <c r="W23" s="364">
        <f>+VLOOKUP(B23,Parameters!$D$6:$E$28,2,0)</f>
        <v>26282.954300000012</v>
      </c>
      <c r="X23" s="684">
        <f t="shared" si="31"/>
        <v>126.19903719153544</v>
      </c>
      <c r="Y23" s="676">
        <f t="shared" si="32"/>
        <v>12.619903719153545</v>
      </c>
      <c r="Z23" s="218">
        <f t="shared" si="24"/>
        <v>126.19903719153544</v>
      </c>
      <c r="AA23" s="160">
        <f t="shared" si="10"/>
        <v>12.619903719153545</v>
      </c>
      <c r="AC23" s="814"/>
    </row>
    <row r="24" spans="1:29" s="99" customFormat="1" ht="15" customHeight="1">
      <c r="A24" s="22"/>
      <c r="B24" s="154" t="s">
        <v>6</v>
      </c>
      <c r="C24" s="568">
        <f>'Sheet 1 Gen &amp; Rec'!H23</f>
        <v>49459.44915227276</v>
      </c>
      <c r="D24" s="867">
        <f t="shared" si="25"/>
        <v>0.11836619120622024</v>
      </c>
      <c r="E24" s="134">
        <f t="shared" si="13"/>
        <v>3251698.314961008</v>
      </c>
      <c r="F24" s="150">
        <f t="shared" si="14"/>
        <v>69.1105028570616</v>
      </c>
      <c r="G24" s="874">
        <f>'Sheet 2 Gross &amp; Net Costs'!N23</f>
        <v>0.05838395308632665</v>
      </c>
      <c r="H24" s="155">
        <f t="shared" si="15"/>
        <v>1833023.4328561914</v>
      </c>
      <c r="I24" s="151">
        <f t="shared" si="16"/>
        <v>38.95846383122653</v>
      </c>
      <c r="J24" s="882">
        <f>'Sheet 2 Gross &amp; Net Costs'!S23</f>
        <v>0.281394967820817</v>
      </c>
      <c r="K24" s="156">
        <f t="shared" si="17"/>
        <v>5521675.291718248</v>
      </c>
      <c r="L24" s="152">
        <f t="shared" si="18"/>
        <v>117.35583041892262</v>
      </c>
      <c r="M24" s="157">
        <f t="shared" si="19"/>
        <v>10606397.039535448</v>
      </c>
      <c r="N24" s="387">
        <f t="shared" si="20"/>
        <v>225.42479710721076</v>
      </c>
      <c r="O24" s="141">
        <f>O$6*'Sheet 1 Gen &amp; Rec'!$O23</f>
        <v>348580.9306573227</v>
      </c>
      <c r="P24" s="142">
        <f t="shared" si="26"/>
        <v>10954977.970192771</v>
      </c>
      <c r="Q24" s="158"/>
      <c r="R24" s="144">
        <f t="shared" si="27"/>
        <v>10954977.970192771</v>
      </c>
      <c r="S24" s="372">
        <f t="shared" si="21"/>
        <v>10606397.039535448</v>
      </c>
      <c r="T24" s="372">
        <f t="shared" si="28"/>
        <v>348580.9306573227</v>
      </c>
      <c r="U24" s="144">
        <f t="shared" si="29"/>
        <v>10954977.970192771</v>
      </c>
      <c r="V24" s="144">
        <f t="shared" si="30"/>
        <v>10954977.970192771</v>
      </c>
      <c r="W24" s="364">
        <f>+VLOOKUP(B24,Parameters!$D$6:$E$28,2,0)</f>
        <v>47050.71125999996</v>
      </c>
      <c r="X24" s="684">
        <f t="shared" si="31"/>
        <v>232.83341902433932</v>
      </c>
      <c r="Y24" s="676">
        <f t="shared" si="32"/>
        <v>23.283341902433932</v>
      </c>
      <c r="Z24" s="218">
        <f t="shared" si="24"/>
        <v>232.83341902433932</v>
      </c>
      <c r="AA24" s="160">
        <f t="shared" si="10"/>
        <v>23.283341902433932</v>
      </c>
      <c r="AC24" s="814"/>
    </row>
    <row r="25" spans="1:29" s="99" customFormat="1" ht="15" customHeight="1">
      <c r="A25" s="22"/>
      <c r="B25" s="154" t="s">
        <v>175</v>
      </c>
      <c r="C25" s="568">
        <f>'Sheet 1 Gen &amp; Rec'!H24</f>
        <v>35384.234425033246</v>
      </c>
      <c r="D25" s="867">
        <f t="shared" si="25"/>
        <v>0.08468143356681006</v>
      </c>
      <c r="E25" s="134">
        <f t="shared" si="13"/>
        <v>2326327.0705225533</v>
      </c>
      <c r="F25" s="150">
        <f t="shared" si="14"/>
        <v>100.23230463255724</v>
      </c>
      <c r="G25" s="874">
        <f>'Sheet 2 Gross &amp; Net Costs'!N24</f>
        <v>8.565079932939417E-05</v>
      </c>
      <c r="H25" s="155">
        <f t="shared" si="15"/>
        <v>2689.0937306266746</v>
      </c>
      <c r="I25" s="151">
        <f t="shared" si="16"/>
        <v>0.11586249646879118</v>
      </c>
      <c r="J25" s="882">
        <f>'Sheet 2 Gross &amp; Net Costs'!S24</f>
        <v>0.21943636534436156</v>
      </c>
      <c r="K25" s="156">
        <f t="shared" si="17"/>
        <v>4305892.056314107</v>
      </c>
      <c r="L25" s="152">
        <f t="shared" si="18"/>
        <v>185.52399177749228</v>
      </c>
      <c r="M25" s="157">
        <f t="shared" si="19"/>
        <v>6634908.220567287</v>
      </c>
      <c r="N25" s="387">
        <f t="shared" si="20"/>
        <v>285.87215890651834</v>
      </c>
      <c r="O25" s="141">
        <f>O$6*'Sheet 1 Gen &amp; Rec'!$O24</f>
        <v>213362.75950108608</v>
      </c>
      <c r="P25" s="142">
        <f t="shared" si="26"/>
        <v>6848270.980068373</v>
      </c>
      <c r="Q25" s="158"/>
      <c r="R25" s="144">
        <f t="shared" si="27"/>
        <v>6848270.980068373</v>
      </c>
      <c r="S25" s="372">
        <f t="shared" si="21"/>
        <v>6634908.220567287</v>
      </c>
      <c r="T25" s="372">
        <f t="shared" si="28"/>
        <v>213362.75950108608</v>
      </c>
      <c r="U25" s="144">
        <f t="shared" si="29"/>
        <v>6848270.980068373</v>
      </c>
      <c r="V25" s="144">
        <f t="shared" si="30"/>
        <v>6848270.980068373</v>
      </c>
      <c r="W25" s="364">
        <f>+VLOOKUP(B25,Parameters!$D$6:$E$28,2,0)</f>
        <v>23209.35430000001</v>
      </c>
      <c r="X25" s="684">
        <f t="shared" si="31"/>
        <v>295.0651229477922</v>
      </c>
      <c r="Y25" s="676">
        <f t="shared" si="32"/>
        <v>29.50651229477922</v>
      </c>
      <c r="Z25" s="218">
        <f t="shared" si="24"/>
        <v>295.0651229477922</v>
      </c>
      <c r="AA25" s="160">
        <f>Z25/1000*100</f>
        <v>29.50651229477922</v>
      </c>
      <c r="AC25" s="814"/>
    </row>
    <row r="26" spans="1:29" s="99" customFormat="1" ht="15" customHeight="1">
      <c r="A26" s="22"/>
      <c r="B26" s="154" t="s">
        <v>7</v>
      </c>
      <c r="C26" s="568">
        <f>'Sheet 1 Gen &amp; Rec'!H25</f>
        <v>19942.57803639254</v>
      </c>
      <c r="D26" s="867">
        <f t="shared" si="25"/>
        <v>0.047726512232943795</v>
      </c>
      <c r="E26" s="134">
        <f t="shared" si="13"/>
        <v>1311119.4828973578</v>
      </c>
      <c r="F26" s="150">
        <f t="shared" si="14"/>
        <v>91.31535759184314</v>
      </c>
      <c r="G26" s="874">
        <f>'Sheet 2 Gross &amp; Net Costs'!N25</f>
        <v>0.020810456956929017</v>
      </c>
      <c r="H26" s="155">
        <f t="shared" si="15"/>
        <v>653365.4066570859</v>
      </c>
      <c r="I26" s="151">
        <f t="shared" si="16"/>
        <v>45.504850263675415</v>
      </c>
      <c r="J26" s="882">
        <f>'Sheet 2 Gross &amp; Net Costs'!S25</f>
        <v>0.14010869495999728</v>
      </c>
      <c r="K26" s="156">
        <f t="shared" si="17"/>
        <v>2749284.1293740934</v>
      </c>
      <c r="L26" s="152">
        <f t="shared" si="18"/>
        <v>191.47901214967172</v>
      </c>
      <c r="M26" s="157">
        <f t="shared" si="19"/>
        <v>4713769.018928537</v>
      </c>
      <c r="N26" s="387">
        <f t="shared" si="20"/>
        <v>328.29922000519025</v>
      </c>
      <c r="O26" s="141">
        <f>O$6*'Sheet 1 Gen &amp; Rec'!$O25</f>
        <v>241925.65146040046</v>
      </c>
      <c r="P26" s="142">
        <f t="shared" si="26"/>
        <v>4955694.670388938</v>
      </c>
      <c r="Q26" s="158"/>
      <c r="R26" s="144">
        <f t="shared" si="27"/>
        <v>4955694.670388938</v>
      </c>
      <c r="S26" s="372">
        <f t="shared" si="21"/>
        <v>4713769.018928537</v>
      </c>
      <c r="T26" s="372">
        <f t="shared" si="28"/>
        <v>241925.65146040046</v>
      </c>
      <c r="U26" s="144">
        <f t="shared" si="29"/>
        <v>4955694.670388938</v>
      </c>
      <c r="V26" s="144">
        <f t="shared" si="30"/>
        <v>4955694.670388938</v>
      </c>
      <c r="W26" s="364">
        <f>+VLOOKUP(B26,Parameters!$D$6:$E$28,2,0)</f>
        <v>14358.148700000002</v>
      </c>
      <c r="X26" s="684">
        <f t="shared" si="31"/>
        <v>345.1485824484418</v>
      </c>
      <c r="Y26" s="676">
        <f t="shared" si="32"/>
        <v>34.514858244844184</v>
      </c>
      <c r="Z26" s="218">
        <f t="shared" si="24"/>
        <v>345.1485824484418</v>
      </c>
      <c r="AA26" s="160">
        <f t="shared" si="10"/>
        <v>34.514858244844184</v>
      </c>
      <c r="AC26" s="814"/>
    </row>
    <row r="27" spans="1:29" s="99" customFormat="1" ht="15" customHeight="1">
      <c r="A27" s="22"/>
      <c r="B27" s="161" t="s">
        <v>8</v>
      </c>
      <c r="C27" s="568">
        <f>'Sheet 1 Gen &amp; Rec'!H26</f>
        <v>54644.34574230937</v>
      </c>
      <c r="D27" s="867">
        <f t="shared" si="25"/>
        <v>0.13077466868989135</v>
      </c>
      <c r="E27" s="134">
        <f t="shared" si="13"/>
        <v>3592577.960691845</v>
      </c>
      <c r="F27" s="187">
        <f t="shared" si="14"/>
        <v>52.915788379138284</v>
      </c>
      <c r="G27" s="875">
        <f>'Sheet 2 Gross &amp; Net Costs'!N26</f>
        <v>0.1277280153294581</v>
      </c>
      <c r="H27" s="162">
        <f t="shared" si="15"/>
        <v>4010150.610818159</v>
      </c>
      <c r="I27" s="189">
        <f t="shared" si="16"/>
        <v>59.06629818818492</v>
      </c>
      <c r="J27" s="883">
        <f>'Sheet 2 Gross &amp; Net Costs'!S26</f>
        <v>0.1783793913019357</v>
      </c>
      <c r="K27" s="163">
        <f t="shared" si="17"/>
        <v>3500251.213201598</v>
      </c>
      <c r="L27" s="191">
        <f t="shared" si="18"/>
        <v>51.55588953062806</v>
      </c>
      <c r="M27" s="164">
        <f t="shared" si="19"/>
        <v>11102979.784711601</v>
      </c>
      <c r="N27" s="389">
        <f t="shared" si="20"/>
        <v>163.53797609795126</v>
      </c>
      <c r="O27" s="458">
        <f>O$6*'Sheet 1 Gen &amp; Rec'!$O26</f>
        <v>506418.5555587666</v>
      </c>
      <c r="P27" s="459">
        <f t="shared" si="26"/>
        <v>11609398.340270368</v>
      </c>
      <c r="Q27" s="165"/>
      <c r="R27" s="219">
        <f t="shared" si="27"/>
        <v>11609398.340270368</v>
      </c>
      <c r="S27" s="730">
        <f t="shared" si="21"/>
        <v>11102979.784711601</v>
      </c>
      <c r="T27" s="730">
        <f t="shared" si="28"/>
        <v>506418.5555587666</v>
      </c>
      <c r="U27" s="144">
        <f t="shared" si="29"/>
        <v>11609398.340270368</v>
      </c>
      <c r="V27" s="144">
        <f t="shared" si="30"/>
        <v>11609398.340270368</v>
      </c>
      <c r="W27" s="364">
        <f>+VLOOKUP(B27,Parameters!$D$6:$E$28,2,0)</f>
        <v>67892.36389999995</v>
      </c>
      <c r="X27" s="684">
        <f t="shared" si="31"/>
        <v>170.99711474725035</v>
      </c>
      <c r="Y27" s="677">
        <f t="shared" si="32"/>
        <v>17.099711474725034</v>
      </c>
      <c r="Z27" s="166">
        <f t="shared" si="24"/>
        <v>170.99711474725035</v>
      </c>
      <c r="AA27" s="167">
        <f t="shared" si="10"/>
        <v>17.099711474725034</v>
      </c>
      <c r="AC27" s="814"/>
    </row>
    <row r="28" spans="1:27" s="55" customFormat="1" ht="15" customHeight="1" thickBot="1">
      <c r="A28" s="220" t="s">
        <v>52</v>
      </c>
      <c r="B28" s="221"/>
      <c r="C28" s="569">
        <f>'Sheet 1 Gen &amp; Rec'!H27</f>
        <v>194766.53654283265</v>
      </c>
      <c r="D28" s="869">
        <f aca="true" t="shared" si="33" ref="D28:D38">C28/$C$39</f>
        <v>0.46611463532530756</v>
      </c>
      <c r="E28" s="170">
        <f t="shared" si="13"/>
        <v>12804874.084571522</v>
      </c>
      <c r="F28" s="121">
        <f t="shared" si="14"/>
        <v>54.73464719057248</v>
      </c>
      <c r="G28" s="879">
        <f>'Sheet 2 Gross &amp; Net Costs'!N27</f>
        <v>0.46071072646596056</v>
      </c>
      <c r="H28" s="122">
        <f t="shared" si="15"/>
        <v>14464480.610479299</v>
      </c>
      <c r="I28" s="123">
        <f t="shared" si="16"/>
        <v>61.82866288106519</v>
      </c>
      <c r="J28" s="887">
        <f>'Sheet 2 Gross &amp; Net Costs'!S27</f>
        <v>0.8264802254956158</v>
      </c>
      <c r="K28" s="124">
        <f t="shared" si="17"/>
        <v>16217615.672213402</v>
      </c>
      <c r="L28" s="125">
        <f t="shared" si="18"/>
        <v>69.32246785311537</v>
      </c>
      <c r="M28" s="126">
        <f t="shared" si="19"/>
        <v>43486970.367264226</v>
      </c>
      <c r="N28" s="391">
        <f t="shared" si="20"/>
        <v>185.88577792475306</v>
      </c>
      <c r="O28" s="109">
        <f>SUM(O22:O27)</f>
        <v>1925914.19</v>
      </c>
      <c r="P28" s="222">
        <f>SUM(P22:P27)</f>
        <v>45412884.55726422</v>
      </c>
      <c r="Q28" s="223">
        <f>SUM(Q22:Q27)</f>
        <v>0</v>
      </c>
      <c r="R28" s="130">
        <f>SUM(R22:R27)</f>
        <v>45412884.55726422</v>
      </c>
      <c r="S28" s="130">
        <f t="shared" si="21"/>
        <v>43486970.367264226</v>
      </c>
      <c r="T28" s="130">
        <f>SUM(T22:T27)</f>
        <v>1925914.19</v>
      </c>
      <c r="U28" s="130">
        <f>SUM(U22:U27)</f>
        <v>45412884.55726422</v>
      </c>
      <c r="V28" s="130">
        <f>SUM(V22:V27)</f>
        <v>45412884.55726422</v>
      </c>
      <c r="W28" s="365">
        <f>SUM(W22:W27)</f>
        <v>233944.58065999992</v>
      </c>
      <c r="X28" s="685">
        <f t="shared" si="31"/>
        <v>194.11813015350162</v>
      </c>
      <c r="Y28" s="678">
        <f t="shared" si="32"/>
        <v>19.411813015350162</v>
      </c>
      <c r="Z28" s="181">
        <f t="shared" si="24"/>
        <v>194.11813015350162</v>
      </c>
      <c r="AA28" s="182">
        <f t="shared" si="10"/>
        <v>19.411813015350162</v>
      </c>
    </row>
    <row r="29" spans="1:29" s="99" customFormat="1" ht="15" customHeight="1">
      <c r="A29" s="22" t="s">
        <v>44</v>
      </c>
      <c r="B29" s="149" t="s">
        <v>94</v>
      </c>
      <c r="C29" s="568">
        <f>'Sheet 1 Gen &amp; Rec'!H28</f>
        <v>16098.80559443881</v>
      </c>
      <c r="D29" s="867">
        <f t="shared" si="33"/>
        <v>0.038527608654039126</v>
      </c>
      <c r="E29" s="134">
        <f t="shared" si="13"/>
        <v>1058411.6871814372</v>
      </c>
      <c r="F29" s="462">
        <f t="shared" si="14"/>
        <v>26.102731031495203</v>
      </c>
      <c r="G29" s="874">
        <f>'Sheet 2 Gross &amp; Net Costs'!N28</f>
        <v>0.016597148519092216</v>
      </c>
      <c r="H29" s="136">
        <f t="shared" si="15"/>
        <v>521084.31419686513</v>
      </c>
      <c r="I29" s="463">
        <f t="shared" si="16"/>
        <v>12.851070961275436</v>
      </c>
      <c r="J29" s="882">
        <f>'Sheet 2 Gross &amp; Net Costs'!S28</f>
        <v>0</v>
      </c>
      <c r="K29" s="138">
        <f t="shared" si="17"/>
        <v>0</v>
      </c>
      <c r="L29" s="464">
        <f t="shared" si="18"/>
        <v>0</v>
      </c>
      <c r="M29" s="140">
        <f t="shared" si="19"/>
        <v>1579496.0013783022</v>
      </c>
      <c r="N29" s="465">
        <f t="shared" si="20"/>
        <v>38.953801992770636</v>
      </c>
      <c r="O29" s="141">
        <f>O$6*'Sheet 1 Gen &amp; Rec'!$O28</f>
        <v>219985.67971928156</v>
      </c>
      <c r="P29" s="142">
        <f>SUM(M29,O29:O29)</f>
        <v>1799481.6810975838</v>
      </c>
      <c r="Q29" s="148"/>
      <c r="R29" s="144">
        <f>P29-Q29</f>
        <v>1799481.6810975838</v>
      </c>
      <c r="S29" s="372">
        <f t="shared" si="21"/>
        <v>1579496.0013783022</v>
      </c>
      <c r="T29" s="372">
        <f>SUM(O29:O29)</f>
        <v>219985.67971928156</v>
      </c>
      <c r="U29" s="144">
        <f>R29</f>
        <v>1799481.6810975838</v>
      </c>
      <c r="V29" s="144">
        <f>R29+Q29</f>
        <v>1799481.6810975838</v>
      </c>
      <c r="W29" s="364">
        <f>+VLOOKUP(B29,Parameters!$D$6:$E$28,2,0)</f>
        <v>40547.929099999994</v>
      </c>
      <c r="X29" s="684">
        <f aca="true" t="shared" si="34" ref="X29:X38">U29/W29</f>
        <v>44.37912665427799</v>
      </c>
      <c r="Y29" s="675">
        <f aca="true" t="shared" si="35" ref="Y29:Y38">X29/1000*100</f>
        <v>4.437912665427799</v>
      </c>
      <c r="Z29" s="217">
        <f t="shared" si="24"/>
        <v>44.37912665427799</v>
      </c>
      <c r="AA29" s="153">
        <f t="shared" si="10"/>
        <v>4.437912665427799</v>
      </c>
      <c r="AC29" s="814"/>
    </row>
    <row r="30" spans="1:29" s="99" customFormat="1" ht="15" customHeight="1">
      <c r="A30" s="27"/>
      <c r="B30" s="154" t="s">
        <v>95</v>
      </c>
      <c r="C30" s="568">
        <f>'Sheet 1 Gen &amp; Rec'!H29</f>
        <v>3136.465343786134</v>
      </c>
      <c r="D30" s="867">
        <f t="shared" si="33"/>
        <v>0.007506178555512947</v>
      </c>
      <c r="E30" s="134">
        <f t="shared" si="13"/>
        <v>206206.0788813761</v>
      </c>
      <c r="F30" s="150">
        <f t="shared" si="14"/>
        <v>58.15633300591777</v>
      </c>
      <c r="G30" s="874">
        <f>'Sheet 2 Gross &amp; Net Costs'!N29</f>
        <v>0.0005358297488205569</v>
      </c>
      <c r="H30" s="155">
        <f t="shared" si="15"/>
        <v>16822.91851936202</v>
      </c>
      <c r="I30" s="151">
        <f t="shared" si="16"/>
        <v>4.744570367909756</v>
      </c>
      <c r="J30" s="882">
        <f>'Sheet 2 Gross &amp; Net Costs'!S29</f>
        <v>0.000732953599349151</v>
      </c>
      <c r="K30" s="156">
        <f t="shared" si="17"/>
        <v>14382.388607884568</v>
      </c>
      <c r="L30" s="152">
        <f t="shared" si="18"/>
        <v>4.056267331390474</v>
      </c>
      <c r="M30" s="157">
        <f t="shared" si="19"/>
        <v>237411.38600862268</v>
      </c>
      <c r="N30" s="387">
        <f t="shared" si="20"/>
        <v>66.957170705218</v>
      </c>
      <c r="O30" s="141">
        <f>O$6*'Sheet 1 Gen &amp; Rec'!$O29</f>
        <v>19813.500853630445</v>
      </c>
      <c r="P30" s="142">
        <f>SUM(M30,O30:O30)</f>
        <v>257224.88686225313</v>
      </c>
      <c r="Q30" s="158"/>
      <c r="R30" s="144">
        <f>P30-Q30</f>
        <v>257224.88686225313</v>
      </c>
      <c r="S30" s="372">
        <f t="shared" si="21"/>
        <v>237411.38600862268</v>
      </c>
      <c r="T30" s="372">
        <f>SUM(O30:O30)</f>
        <v>19813.500853630445</v>
      </c>
      <c r="U30" s="144">
        <f>R30</f>
        <v>257224.88686225313</v>
      </c>
      <c r="V30" s="144">
        <f>R30+Q30</f>
        <v>257224.88686225313</v>
      </c>
      <c r="W30" s="364">
        <f>+VLOOKUP(B30,Parameters!$D$6:$E$28,2,0)</f>
        <v>3545.7201000000005</v>
      </c>
      <c r="X30" s="684">
        <f t="shared" si="34"/>
        <v>72.54517548135091</v>
      </c>
      <c r="Y30" s="676">
        <f t="shared" si="35"/>
        <v>7.254517548135091</v>
      </c>
      <c r="Z30" s="218">
        <f t="shared" si="24"/>
        <v>72.54517548135091</v>
      </c>
      <c r="AA30" s="160">
        <f t="shared" si="10"/>
        <v>7.254517548135091</v>
      </c>
      <c r="AC30" s="814"/>
    </row>
    <row r="31" spans="1:29" s="99" customFormat="1" ht="15" customHeight="1">
      <c r="A31" s="29"/>
      <c r="B31" s="161" t="s">
        <v>96</v>
      </c>
      <c r="C31" s="568">
        <f>'Sheet 1 Gen &amp; Rec'!H30</f>
        <v>4376.350992577333</v>
      </c>
      <c r="D31" s="867">
        <f t="shared" si="33"/>
        <v>0.010473468816405866</v>
      </c>
      <c r="E31" s="134">
        <f t="shared" si="13"/>
        <v>287722.03071711166</v>
      </c>
      <c r="F31" s="187">
        <f t="shared" si="14"/>
        <v>82.46009960919189</v>
      </c>
      <c r="G31" s="875">
        <f>'Sheet 2 Gross &amp; Net Costs'!N30</f>
        <v>0.00039573818453344004</v>
      </c>
      <c r="H31" s="162">
        <f t="shared" si="15"/>
        <v>12424.60174721621</v>
      </c>
      <c r="I31" s="189">
        <f t="shared" si="16"/>
        <v>3.56084619285657</v>
      </c>
      <c r="J31" s="883">
        <f>'Sheet 2 Gross &amp; Net Costs'!S30</f>
        <v>0.001143257493448126</v>
      </c>
      <c r="K31" s="163">
        <f t="shared" si="17"/>
        <v>22433.580467096235</v>
      </c>
      <c r="L31" s="191">
        <f t="shared" si="18"/>
        <v>6.429383510525736</v>
      </c>
      <c r="M31" s="164">
        <f t="shared" si="19"/>
        <v>322580.2129314241</v>
      </c>
      <c r="N31" s="389">
        <f t="shared" si="20"/>
        <v>92.45032931257418</v>
      </c>
      <c r="O31" s="458">
        <f>O$6*'Sheet 1 Gen &amp; Rec'!$O30</f>
        <v>24639.814427087975</v>
      </c>
      <c r="P31" s="459">
        <f>SUM(M31,O31:O31)</f>
        <v>347220.02735851204</v>
      </c>
      <c r="Q31" s="165"/>
      <c r="R31" s="219">
        <f>P31-Q31</f>
        <v>347220.02735851204</v>
      </c>
      <c r="S31" s="730">
        <f t="shared" si="21"/>
        <v>322580.2129314241</v>
      </c>
      <c r="T31" s="730">
        <f>SUM(O31:O31)</f>
        <v>24639.814427087975</v>
      </c>
      <c r="U31" s="144">
        <f>R31</f>
        <v>347220.02735851204</v>
      </c>
      <c r="V31" s="144">
        <f>R31+Q31</f>
        <v>347220.02735851204</v>
      </c>
      <c r="W31" s="364">
        <f>+VLOOKUP(B31,Parameters!$D$6:$E$28,2,0)</f>
        <v>3489.2273</v>
      </c>
      <c r="X31" s="684">
        <f t="shared" si="34"/>
        <v>99.51201154436458</v>
      </c>
      <c r="Y31" s="677">
        <f t="shared" si="35"/>
        <v>9.951201154436458</v>
      </c>
      <c r="Z31" s="166">
        <f t="shared" si="24"/>
        <v>99.51201154436458</v>
      </c>
      <c r="AA31" s="167">
        <f t="shared" si="10"/>
        <v>9.951201154436458</v>
      </c>
      <c r="AC31" s="814"/>
    </row>
    <row r="32" spans="1:27" s="55" customFormat="1" ht="15" customHeight="1" thickBot="1">
      <c r="A32" s="220" t="s">
        <v>44</v>
      </c>
      <c r="B32" s="221"/>
      <c r="C32" s="569">
        <f>'Sheet 1 Gen &amp; Rec'!H31</f>
        <v>23611.621930802277</v>
      </c>
      <c r="D32" s="869">
        <f t="shared" si="33"/>
        <v>0.05650725602595794</v>
      </c>
      <c r="E32" s="170">
        <f t="shared" si="13"/>
        <v>1552339.796779925</v>
      </c>
      <c r="F32" s="121">
        <f t="shared" si="14"/>
        <v>32.62391664740834</v>
      </c>
      <c r="G32" s="879">
        <f>'Sheet 2 Gross &amp; Net Costs'!N31</f>
        <v>0.017528716452446212</v>
      </c>
      <c r="H32" s="122">
        <f t="shared" si="15"/>
        <v>550331.8344634434</v>
      </c>
      <c r="I32" s="123">
        <f t="shared" si="16"/>
        <v>11.5657537951377</v>
      </c>
      <c r="J32" s="887">
        <f>'Sheet 2 Gross &amp; Net Costs'!S31</f>
        <v>0.001876211092797277</v>
      </c>
      <c r="K32" s="124">
        <f t="shared" si="17"/>
        <v>36815.9690749808</v>
      </c>
      <c r="L32" s="125">
        <f t="shared" si="18"/>
        <v>0.7737230655860161</v>
      </c>
      <c r="M32" s="126">
        <f t="shared" si="19"/>
        <v>2139487.600318349</v>
      </c>
      <c r="N32" s="391">
        <f t="shared" si="20"/>
        <v>44.96339350813206</v>
      </c>
      <c r="O32" s="109">
        <f>SUM(O29:O31)</f>
        <v>264438.995</v>
      </c>
      <c r="P32" s="222">
        <f aca="true" t="shared" si="36" ref="P32:W32">SUM(P29:P31)</f>
        <v>2403926.595318349</v>
      </c>
      <c r="Q32" s="223">
        <f t="shared" si="36"/>
        <v>0</v>
      </c>
      <c r="R32" s="130">
        <f>SUM(R29:R31)</f>
        <v>2403926.595318349</v>
      </c>
      <c r="S32" s="130">
        <f t="shared" si="21"/>
        <v>2139487.600318349</v>
      </c>
      <c r="T32" s="130">
        <f>SUM(T29:T31)</f>
        <v>264438.995</v>
      </c>
      <c r="U32" s="130">
        <f t="shared" si="36"/>
        <v>2403926.595318349</v>
      </c>
      <c r="V32" s="130">
        <f t="shared" si="36"/>
        <v>2403926.595318349</v>
      </c>
      <c r="W32" s="365">
        <f t="shared" si="36"/>
        <v>47582.87649999999</v>
      </c>
      <c r="X32" s="685">
        <f t="shared" si="34"/>
        <v>50.52083379865338</v>
      </c>
      <c r="Y32" s="678">
        <f t="shared" si="35"/>
        <v>5.052083379865338</v>
      </c>
      <c r="Z32" s="181">
        <f t="shared" si="24"/>
        <v>50.52083379865338</v>
      </c>
      <c r="AA32" s="182">
        <f t="shared" si="10"/>
        <v>5.052083379865338</v>
      </c>
    </row>
    <row r="33" spans="1:29" s="99" customFormat="1" ht="15" customHeight="1">
      <c r="A33" s="22" t="s">
        <v>45</v>
      </c>
      <c r="B33" s="26" t="s">
        <v>97</v>
      </c>
      <c r="C33" s="568">
        <f>'Sheet 1 Gen &amp; Rec'!H32</f>
        <v>11691.467085710276</v>
      </c>
      <c r="D33" s="867">
        <f t="shared" si="33"/>
        <v>0.027979980615793435</v>
      </c>
      <c r="E33" s="134">
        <f t="shared" si="13"/>
        <v>768652.390466003</v>
      </c>
      <c r="F33" s="462">
        <f t="shared" si="14"/>
        <v>37.64682745840429</v>
      </c>
      <c r="G33" s="874">
        <f>'Sheet 2 Gross &amp; Net Costs'!N32</f>
        <v>-0.019785001001964956</v>
      </c>
      <c r="H33" s="136">
        <f t="shared" si="15"/>
        <v>-621170.176710396</v>
      </c>
      <c r="I33" s="463">
        <f t="shared" si="16"/>
        <v>-30.423487593325955</v>
      </c>
      <c r="J33" s="882">
        <f>'Sheet 2 Gross &amp; Net Costs'!S32</f>
        <v>0</v>
      </c>
      <c r="K33" s="138">
        <f t="shared" si="17"/>
        <v>0</v>
      </c>
      <c r="L33" s="464">
        <f t="shared" si="18"/>
        <v>0</v>
      </c>
      <c r="M33" s="140">
        <f t="shared" si="19"/>
        <v>147482.21375560702</v>
      </c>
      <c r="N33" s="465">
        <f t="shared" si="20"/>
        <v>7.2233398650783345</v>
      </c>
      <c r="O33" s="141">
        <f>O$6*'Sheet 1 Gen &amp; Rec'!$O32</f>
        <v>211965.2075528244</v>
      </c>
      <c r="P33" s="142">
        <f>SUM(M33,O33:O33)</f>
        <v>359447.4213084314</v>
      </c>
      <c r="Q33" s="148"/>
      <c r="R33" s="144">
        <f>P33-Q33</f>
        <v>359447.4213084314</v>
      </c>
      <c r="S33" s="372">
        <f t="shared" si="21"/>
        <v>147482.21375560702</v>
      </c>
      <c r="T33" s="372">
        <f>SUM(O33:O33)</f>
        <v>211965.2075528244</v>
      </c>
      <c r="U33" s="144">
        <f>R33</f>
        <v>359447.4213084314</v>
      </c>
      <c r="V33" s="144">
        <f>R33+Q33</f>
        <v>359447.4213084314</v>
      </c>
      <c r="W33" s="364">
        <f>+VLOOKUP(B33,Parameters!$D$6:$E$28,2,0)</f>
        <v>20417.4546</v>
      </c>
      <c r="X33" s="684">
        <f t="shared" si="34"/>
        <v>17.604908562325463</v>
      </c>
      <c r="Y33" s="675">
        <f t="shared" si="35"/>
        <v>1.7604908562325463</v>
      </c>
      <c r="Z33" s="217">
        <f t="shared" si="24"/>
        <v>17.604908562325463</v>
      </c>
      <c r="AA33" s="153">
        <f t="shared" si="10"/>
        <v>1.7604908562325463</v>
      </c>
      <c r="AC33" s="814"/>
    </row>
    <row r="34" spans="1:29" s="99" customFormat="1" ht="15" customHeight="1">
      <c r="A34" s="29"/>
      <c r="B34" s="30" t="s">
        <v>82</v>
      </c>
      <c r="C34" s="568">
        <f>'Sheet 1 Gen &amp; Rec'!H33</f>
        <v>4173.244320022878</v>
      </c>
      <c r="D34" s="867">
        <f t="shared" si="33"/>
        <v>0.009987394594980069</v>
      </c>
      <c r="E34" s="134">
        <f t="shared" si="13"/>
        <v>274368.83661118196</v>
      </c>
      <c r="F34" s="187">
        <f t="shared" si="14"/>
        <v>60.6849885247626</v>
      </c>
      <c r="G34" s="875">
        <f>'Sheet 2 Gross &amp; Net Costs'!N33</f>
        <v>-0.0006338919053407756</v>
      </c>
      <c r="H34" s="162">
        <f t="shared" si="15"/>
        <v>-19901.679399294102</v>
      </c>
      <c r="I34" s="189">
        <f t="shared" si="16"/>
        <v>-4.401859922893464</v>
      </c>
      <c r="J34" s="883">
        <f>'Sheet 2 Gross &amp; Net Costs'!S33</f>
        <v>0</v>
      </c>
      <c r="K34" s="163">
        <f t="shared" si="17"/>
        <v>0</v>
      </c>
      <c r="L34" s="191">
        <f t="shared" si="18"/>
        <v>0</v>
      </c>
      <c r="M34" s="164">
        <f t="shared" si="19"/>
        <v>254467.15721188785</v>
      </c>
      <c r="N34" s="389">
        <f t="shared" si="20"/>
        <v>56.28312860186914</v>
      </c>
      <c r="O34" s="458">
        <f>O$6*'Sheet 1 Gen &amp; Rec'!$O33</f>
        <v>42494.95744717557</v>
      </c>
      <c r="P34" s="459">
        <f>SUM(M34,O34:O34)</f>
        <v>296962.1146590634</v>
      </c>
      <c r="Q34" s="165"/>
      <c r="R34" s="219">
        <f>P34-Q34</f>
        <v>296962.1146590634</v>
      </c>
      <c r="S34" s="730">
        <f t="shared" si="21"/>
        <v>254467.15721188785</v>
      </c>
      <c r="T34" s="730">
        <f>SUM(O34:O34)</f>
        <v>42494.95744717557</v>
      </c>
      <c r="U34" s="144">
        <f>R34</f>
        <v>296962.1146590634</v>
      </c>
      <c r="V34" s="144">
        <f>R34+Q34</f>
        <v>296962.1146590634</v>
      </c>
      <c r="W34" s="364">
        <f>+VLOOKUP(B34,Parameters!$D$6:$E$28,2,0)</f>
        <v>4521.197800000001</v>
      </c>
      <c r="X34" s="684">
        <f t="shared" si="34"/>
        <v>65.68217711223856</v>
      </c>
      <c r="Y34" s="677">
        <f t="shared" si="35"/>
        <v>6.568217711223856</v>
      </c>
      <c r="Z34" s="166">
        <f t="shared" si="24"/>
        <v>65.68217711223856</v>
      </c>
      <c r="AA34" s="167">
        <f t="shared" si="10"/>
        <v>6.568217711223856</v>
      </c>
      <c r="AC34" s="814"/>
    </row>
    <row r="35" spans="1:27" s="55" customFormat="1" ht="15" customHeight="1" thickBot="1">
      <c r="A35" s="220" t="s">
        <v>45</v>
      </c>
      <c r="B35" s="221"/>
      <c r="C35" s="569">
        <f>'Sheet 1 Gen &amp; Rec'!H34</f>
        <v>15864.711405733153</v>
      </c>
      <c r="D35" s="869">
        <f t="shared" si="33"/>
        <v>0.0379673752107735</v>
      </c>
      <c r="E35" s="170">
        <f t="shared" si="13"/>
        <v>1043021.2270771848</v>
      </c>
      <c r="F35" s="121">
        <f t="shared" si="14"/>
        <v>41.82347988767768</v>
      </c>
      <c r="G35" s="879">
        <f>'Sheet 2 Gross &amp; Net Costs'!N34</f>
        <v>-0.02041889290730573</v>
      </c>
      <c r="H35" s="122">
        <f t="shared" si="15"/>
        <v>-641071.85610969</v>
      </c>
      <c r="I35" s="123">
        <f t="shared" si="16"/>
        <v>-25.705954188193825</v>
      </c>
      <c r="J35" s="887">
        <f>'Sheet 2 Gross &amp; Net Costs'!S34</f>
        <v>0</v>
      </c>
      <c r="K35" s="124">
        <f t="shared" si="17"/>
        <v>0</v>
      </c>
      <c r="L35" s="125">
        <f t="shared" si="18"/>
        <v>0</v>
      </c>
      <c r="M35" s="126">
        <f t="shared" si="19"/>
        <v>401949.3709674948</v>
      </c>
      <c r="N35" s="391">
        <f t="shared" si="20"/>
        <v>16.117525699483856</v>
      </c>
      <c r="O35" s="109">
        <f>SUM(O33:O34)</f>
        <v>254460.16499999998</v>
      </c>
      <c r="P35" s="222">
        <f aca="true" t="shared" si="37" ref="P35:W35">SUM(P33:P34)</f>
        <v>656409.5359674948</v>
      </c>
      <c r="Q35" s="223">
        <f t="shared" si="37"/>
        <v>0</v>
      </c>
      <c r="R35" s="130">
        <f>SUM(R33:R34)</f>
        <v>656409.5359674948</v>
      </c>
      <c r="S35" s="130">
        <f t="shared" si="21"/>
        <v>401949.3709674948</v>
      </c>
      <c r="T35" s="130">
        <f>SUM(T33:T34)</f>
        <v>254460.16499999998</v>
      </c>
      <c r="U35" s="130">
        <f t="shared" si="37"/>
        <v>656409.5359674948</v>
      </c>
      <c r="V35" s="130">
        <f t="shared" si="37"/>
        <v>656409.5359674948</v>
      </c>
      <c r="W35" s="365">
        <f t="shared" si="37"/>
        <v>24938.652400000003</v>
      </c>
      <c r="X35" s="685">
        <f t="shared" si="34"/>
        <v>26.320970573674412</v>
      </c>
      <c r="Y35" s="678">
        <f t="shared" si="35"/>
        <v>2.6320970573674414</v>
      </c>
      <c r="Z35" s="181">
        <f t="shared" si="24"/>
        <v>26.320970573674412</v>
      </c>
      <c r="AA35" s="182">
        <f t="shared" si="10"/>
        <v>2.6320970573674414</v>
      </c>
    </row>
    <row r="36" spans="1:29" s="99" customFormat="1" ht="15" customHeight="1">
      <c r="A36" s="22" t="s">
        <v>46</v>
      </c>
      <c r="B36" s="149" t="s">
        <v>109</v>
      </c>
      <c r="C36" s="568">
        <f>'Sheet 1 Gen &amp; Rec'!H35</f>
        <v>4507.553741422089</v>
      </c>
      <c r="D36" s="867">
        <f t="shared" si="33"/>
        <v>0.010787462803858644</v>
      </c>
      <c r="E36" s="134">
        <f t="shared" si="13"/>
        <v>296347.920504587</v>
      </c>
      <c r="F36" s="462">
        <f t="shared" si="14"/>
        <v>3.9766691792108495</v>
      </c>
      <c r="G36" s="874">
        <f>'Sheet 2 Gross &amp; Net Costs'!N35</f>
        <v>0.04907194844042576</v>
      </c>
      <c r="H36" s="136">
        <f t="shared" si="15"/>
        <v>1540663.600736506</v>
      </c>
      <c r="I36" s="463">
        <f t="shared" si="16"/>
        <v>20.674042342355637</v>
      </c>
      <c r="J36" s="882">
        <f>'Sheet 2 Gross &amp; Net Costs'!S35</f>
        <v>0</v>
      </c>
      <c r="K36" s="138">
        <f t="shared" si="17"/>
        <v>0</v>
      </c>
      <c r="L36" s="464">
        <f t="shared" si="18"/>
        <v>0</v>
      </c>
      <c r="M36" s="140">
        <f t="shared" si="19"/>
        <v>1837011.521241093</v>
      </c>
      <c r="N36" s="465">
        <f t="shared" si="20"/>
        <v>24.650711521566485</v>
      </c>
      <c r="O36" s="141">
        <f>O$6*('Sheet 1 Gen &amp; Rec'!$O35)</f>
        <v>178832.73737113154</v>
      </c>
      <c r="P36" s="142">
        <f>SUM(M36,O36:O36)</f>
        <v>2015844.2586122246</v>
      </c>
      <c r="Q36" s="148"/>
      <c r="R36" s="144">
        <f>P36-Q36</f>
        <v>2015844.2586122246</v>
      </c>
      <c r="S36" s="372">
        <f t="shared" si="21"/>
        <v>1837011.521241093</v>
      </c>
      <c r="T36" s="372">
        <f>SUM(O36:O36)</f>
        <v>178832.73737113154</v>
      </c>
      <c r="U36" s="144">
        <f>R36</f>
        <v>2015844.2586122246</v>
      </c>
      <c r="V36" s="144">
        <f>R36+Q36</f>
        <v>2015844.2586122246</v>
      </c>
      <c r="W36" s="364">
        <f>+VLOOKUP(B36,Parameters!$D$6:$E$28,2,0)</f>
        <v>74521.64289999999</v>
      </c>
      <c r="X36" s="684">
        <f t="shared" si="34"/>
        <v>27.05045380329672</v>
      </c>
      <c r="Y36" s="675">
        <f t="shared" si="35"/>
        <v>2.705045380329672</v>
      </c>
      <c r="Z36" s="217">
        <f t="shared" si="24"/>
        <v>27.05045380329672</v>
      </c>
      <c r="AA36" s="153">
        <f t="shared" si="10"/>
        <v>2.705045380329672</v>
      </c>
      <c r="AC36" s="814"/>
    </row>
    <row r="37" spans="1:29" s="99" customFormat="1" ht="15" customHeight="1">
      <c r="A37" s="27"/>
      <c r="B37" s="154" t="s">
        <v>53</v>
      </c>
      <c r="C37" s="568">
        <f>'Sheet 1 Gen &amp; Rec'!H36</f>
        <v>8067.635163930841</v>
      </c>
      <c r="D37" s="867">
        <f t="shared" si="33"/>
        <v>0.019307437967128728</v>
      </c>
      <c r="E37" s="134">
        <f t="shared" si="13"/>
        <v>530404.5256854342</v>
      </c>
      <c r="F37" s="454">
        <f t="shared" si="14"/>
        <v>24.279910560303374</v>
      </c>
      <c r="G37" s="875">
        <f>'Sheet 2 Gross &amp; Net Costs'!N36</f>
        <v>0.011465951630562353</v>
      </c>
      <c r="H37" s="162">
        <f t="shared" si="15"/>
        <v>359985.1827049144</v>
      </c>
      <c r="I37" s="455">
        <f t="shared" si="16"/>
        <v>16.47875841144961</v>
      </c>
      <c r="J37" s="883">
        <f>'Sheet 2 Gross &amp; Net Costs'!S36</f>
        <v>0</v>
      </c>
      <c r="K37" s="163">
        <f t="shared" si="17"/>
        <v>0</v>
      </c>
      <c r="L37" s="456">
        <f t="shared" si="18"/>
        <v>0</v>
      </c>
      <c r="M37" s="164">
        <f t="shared" si="19"/>
        <v>890389.7083903486</v>
      </c>
      <c r="N37" s="457">
        <f t="shared" si="20"/>
        <v>40.75866897175298</v>
      </c>
      <c r="O37" s="458">
        <f>O$6*('Sheet 1 Gen &amp; Rec'!$O36)</f>
        <v>60659.18262886844</v>
      </c>
      <c r="P37" s="459">
        <f>SUM(M37,O37:O37)</f>
        <v>951048.891019217</v>
      </c>
      <c r="Q37" s="165"/>
      <c r="R37" s="219">
        <f>P37-Q37</f>
        <v>951048.891019217</v>
      </c>
      <c r="S37" s="730">
        <f t="shared" si="21"/>
        <v>890389.7083903486</v>
      </c>
      <c r="T37" s="730">
        <f>SUM(O37:O37)</f>
        <v>60659.18262886844</v>
      </c>
      <c r="U37" s="144">
        <f>R37</f>
        <v>951048.891019217</v>
      </c>
      <c r="V37" s="144">
        <f>R37+Q37</f>
        <v>951048.891019217</v>
      </c>
      <c r="W37" s="364">
        <f>+VLOOKUP(B37,Parameters!$D$6:$E$28,2,0)</f>
        <v>21845.4069</v>
      </c>
      <c r="X37" s="684">
        <f t="shared" si="34"/>
        <v>43.5354166380493</v>
      </c>
      <c r="Y37" s="677">
        <f t="shared" si="35"/>
        <v>4.35354166380493</v>
      </c>
      <c r="Z37" s="218">
        <f t="shared" si="24"/>
        <v>43.5354166380493</v>
      </c>
      <c r="AA37" s="160">
        <f t="shared" si="10"/>
        <v>4.35354166380493</v>
      </c>
      <c r="AC37" s="814"/>
    </row>
    <row r="38" spans="1:27" s="55" customFormat="1" ht="15" customHeight="1" thickBot="1">
      <c r="A38" s="168" t="s">
        <v>46</v>
      </c>
      <c r="B38" s="169"/>
      <c r="C38" s="569">
        <f>'Sheet 1 Gen &amp; Rec'!H37</f>
        <v>12575.18890535293</v>
      </c>
      <c r="D38" s="869">
        <f t="shared" si="33"/>
        <v>0.030094900770987372</v>
      </c>
      <c r="E38" s="170">
        <f t="shared" si="13"/>
        <v>826752.4461900212</v>
      </c>
      <c r="F38" s="171">
        <f t="shared" si="14"/>
        <v>8.579202620666107</v>
      </c>
      <c r="G38" s="876">
        <f>'Sheet 2 Gross &amp; Net Costs'!N37</f>
        <v>0.060537900070988124</v>
      </c>
      <c r="H38" s="172">
        <f t="shared" si="15"/>
        <v>1900648.7834414206</v>
      </c>
      <c r="I38" s="173">
        <f t="shared" si="16"/>
        <v>19.72301515285592</v>
      </c>
      <c r="J38" s="884">
        <f>'Sheet 2 Gross &amp; Net Costs'!S37</f>
        <v>0</v>
      </c>
      <c r="K38" s="174">
        <f t="shared" si="17"/>
        <v>0</v>
      </c>
      <c r="L38" s="175">
        <f t="shared" si="18"/>
        <v>0</v>
      </c>
      <c r="M38" s="176">
        <f t="shared" si="19"/>
        <v>2727401.2296314416</v>
      </c>
      <c r="N38" s="388">
        <f t="shared" si="20"/>
        <v>28.30221777352202</v>
      </c>
      <c r="O38" s="177">
        <f>SUM(O36:O37)</f>
        <v>239491.91999999998</v>
      </c>
      <c r="P38" s="178">
        <f aca="true" t="shared" si="38" ref="P38:W38">SUM(P36:P37)</f>
        <v>2966893.1496314416</v>
      </c>
      <c r="Q38" s="179">
        <f t="shared" si="38"/>
        <v>0</v>
      </c>
      <c r="R38" s="180">
        <f>SUM(R36:R37)</f>
        <v>2966893.1496314416</v>
      </c>
      <c r="S38" s="180">
        <f t="shared" si="21"/>
        <v>2727401.2296314416</v>
      </c>
      <c r="T38" s="180">
        <f>SUM(T36:T37)</f>
        <v>239491.91999999998</v>
      </c>
      <c r="U38" s="180">
        <f t="shared" si="38"/>
        <v>2966893.1496314416</v>
      </c>
      <c r="V38" s="180">
        <f t="shared" si="38"/>
        <v>2966893.1496314416</v>
      </c>
      <c r="W38" s="361">
        <f t="shared" si="38"/>
        <v>96367.0498</v>
      </c>
      <c r="X38" s="685">
        <f t="shared" si="34"/>
        <v>30.78742325088219</v>
      </c>
      <c r="Y38" s="678">
        <f t="shared" si="35"/>
        <v>3.0787423250882187</v>
      </c>
      <c r="Z38" s="226">
        <f t="shared" si="24"/>
        <v>30.78742325088219</v>
      </c>
      <c r="AA38" s="182">
        <f>Z38*100/1000</f>
        <v>3.0787423250882187</v>
      </c>
    </row>
    <row r="39" spans="1:27" s="99" customFormat="1" ht="17.25" customHeight="1">
      <c r="A39" s="22"/>
      <c r="B39" s="227"/>
      <c r="C39" s="570">
        <f>C38+C35+C32+C28+C21</f>
        <v>417851.15030104667</v>
      </c>
      <c r="D39" s="460"/>
      <c r="E39" s="228"/>
      <c r="F39" s="461"/>
      <c r="G39" s="229">
        <f>G13+G21+G28+G32+G35+G38</f>
        <v>2</v>
      </c>
      <c r="H39" s="230"/>
      <c r="I39" s="231"/>
      <c r="J39" s="232">
        <f>J13+J21+J28+J32+J35+J38</f>
        <v>2</v>
      </c>
      <c r="K39" s="233"/>
      <c r="L39" s="234"/>
      <c r="M39" s="235"/>
      <c r="N39" s="392"/>
      <c r="O39" s="236"/>
      <c r="P39" s="237"/>
      <c r="Q39" s="238"/>
      <c r="R39" s="239"/>
      <c r="S39" s="372"/>
      <c r="T39" s="372"/>
      <c r="U39" s="239"/>
      <c r="V39" s="239"/>
      <c r="W39" s="368"/>
      <c r="X39" s="688"/>
      <c r="Y39" s="680"/>
      <c r="Z39" s="240"/>
      <c r="AA39" s="241"/>
    </row>
    <row r="40" spans="1:27" s="100" customFormat="1" ht="17.25" customHeight="1">
      <c r="A40" s="242"/>
      <c r="B40" s="243" t="s">
        <v>38</v>
      </c>
      <c r="C40" s="244"/>
      <c r="D40" s="245">
        <f>SUM(D8:D38)</f>
        <v>4</v>
      </c>
      <c r="E40" s="246">
        <f>Parameters!B$10*C6</f>
        <v>7184119.728488159</v>
      </c>
      <c r="F40" s="247"/>
      <c r="G40" s="248"/>
      <c r="H40" s="249">
        <f>Parameters!B$10*G6</f>
        <v>8210422.546843611</v>
      </c>
      <c r="I40" s="250"/>
      <c r="J40" s="251"/>
      <c r="K40" s="252">
        <f>Parameters!B$10*J6</f>
        <v>5131514.091777257</v>
      </c>
      <c r="L40" s="253"/>
      <c r="M40" s="254">
        <f>M$13</f>
        <v>20526056.367109027</v>
      </c>
      <c r="N40" s="393"/>
      <c r="O40" s="255">
        <f>SUM(O36:O37)+O35+O32+O28+O21+O13</f>
        <v>4989415</v>
      </c>
      <c r="P40" s="256">
        <f>P38+P35+P32+P28+P21+P13</f>
        <v>104005507.4111689</v>
      </c>
      <c r="Q40" s="257">
        <f>Q38+Q35+Q32+Q28+Q21+Q13</f>
        <v>4363829.866636189</v>
      </c>
      <c r="R40" s="258">
        <f>R13+R21+R28+R32+R35+R38</f>
        <v>99641677.54453272</v>
      </c>
      <c r="S40" s="258">
        <f>S13+S21+S28+S32+S35+S38</f>
        <v>99016092.41116889</v>
      </c>
      <c r="T40" s="258">
        <f>T13+T21+T28+T32+T35+T38</f>
        <v>4989415</v>
      </c>
      <c r="U40" s="258">
        <f>U13+U21+U28+U32+U35+U38</f>
        <v>99641677.54453272</v>
      </c>
      <c r="V40" s="258">
        <f>V13+V21+V28+V32+V35+V38</f>
        <v>104005507.4111689</v>
      </c>
      <c r="W40" s="366">
        <f>W13</f>
        <v>375679.34648</v>
      </c>
      <c r="X40" s="689"/>
      <c r="Y40" s="681"/>
      <c r="Z40" s="259"/>
      <c r="AA40" s="132"/>
    </row>
    <row r="41" spans="1:27" s="3" customFormat="1" ht="18" customHeight="1" thickBot="1">
      <c r="A41" s="260"/>
      <c r="B41" s="261" t="s">
        <v>39</v>
      </c>
      <c r="C41" s="262"/>
      <c r="D41" s="263"/>
      <c r="E41" s="264">
        <f>Parameters!B$11*C6</f>
        <v>27471512.61542095</v>
      </c>
      <c r="F41" s="265"/>
      <c r="G41" s="266"/>
      <c r="H41" s="267">
        <f>Parameters!B$11*G6</f>
        <v>31396014.417623945</v>
      </c>
      <c r="I41" s="268"/>
      <c r="J41" s="269"/>
      <c r="K41" s="270">
        <f>Parameters!B$11*J6</f>
        <v>19622509.011014964</v>
      </c>
      <c r="L41" s="271"/>
      <c r="M41" s="272">
        <f>M$21+M$28+M$32+M$35+M$38</f>
        <v>78490036.04405986</v>
      </c>
      <c r="N41" s="394"/>
      <c r="O41" s="273"/>
      <c r="P41" s="274"/>
      <c r="Q41" s="275"/>
      <c r="R41" s="276"/>
      <c r="S41" s="373"/>
      <c r="T41" s="373"/>
      <c r="U41" s="276"/>
      <c r="V41" s="276"/>
      <c r="W41" s="376">
        <f>W21+W28+W32+W35+W38</f>
        <v>730938.2261400002</v>
      </c>
      <c r="X41" s="690"/>
      <c r="Y41" s="682"/>
      <c r="Z41" s="260"/>
      <c r="AA41" s="277"/>
    </row>
    <row r="42" spans="3:27" ht="18" customHeight="1">
      <c r="C42" s="278"/>
      <c r="D42" s="278"/>
      <c r="H42" s="6">
        <f>H38+H35+H32+H28+H21+H13</f>
        <v>39606436.96446756</v>
      </c>
      <c r="I42" s="6"/>
      <c r="J42" s="2"/>
      <c r="K42" s="278">
        <f>K38+K35+K32+K28+K21+K13</f>
        <v>24754023.102792222</v>
      </c>
      <c r="L42" s="6"/>
      <c r="M42" s="278">
        <f>M38+M35+M32+M28+M21+M13+M7</f>
        <v>99016092.4111689</v>
      </c>
      <c r="N42" s="279"/>
      <c r="O42" s="280"/>
      <c r="P42" s="280"/>
      <c r="Q42" s="280"/>
      <c r="R42" s="747"/>
      <c r="S42" s="374"/>
      <c r="T42" s="748"/>
      <c r="U42" s="763"/>
      <c r="V42" s="280"/>
      <c r="W42" s="5"/>
      <c r="X42" s="5"/>
      <c r="Y42" s="5"/>
      <c r="Z42" s="5"/>
      <c r="AA42" s="5"/>
    </row>
    <row r="43" spans="3:28" ht="18" customHeight="1">
      <c r="C43" s="278"/>
      <c r="D43" s="571"/>
      <c r="I43" s="6"/>
      <c r="J43" s="278"/>
      <c r="L43" s="278"/>
      <c r="M43" s="278"/>
      <c r="N43" s="278"/>
      <c r="O43" s="280"/>
      <c r="P43" s="281"/>
      <c r="Q43" s="762"/>
      <c r="R43" s="281"/>
      <c r="S43" s="280"/>
      <c r="T43" s="280"/>
      <c r="V43" s="280"/>
      <c r="W43" s="280"/>
      <c r="X43" s="280"/>
      <c r="Y43" s="280"/>
      <c r="Z43" s="5"/>
      <c r="AA43" s="5"/>
      <c r="AB43" s="5"/>
    </row>
    <row r="44" spans="3:28" ht="18" customHeight="1">
      <c r="C44" s="278"/>
      <c r="D44" s="572"/>
      <c r="E44" s="351"/>
      <c r="F44" s="351"/>
      <c r="G44" s="351"/>
      <c r="H44" s="351"/>
      <c r="I44" s="572"/>
      <c r="J44" s="572"/>
      <c r="K44" s="351"/>
      <c r="L44" s="351"/>
      <c r="M44" s="572"/>
      <c r="N44" s="572"/>
      <c r="P44" s="280"/>
      <c r="Q44" s="764"/>
      <c r="R44" s="281"/>
      <c r="S44" s="281"/>
      <c r="T44" s="281"/>
      <c r="U44" s="374"/>
      <c r="V44" s="280"/>
      <c r="W44" s="784"/>
      <c r="X44" s="280"/>
      <c r="Y44" s="280"/>
      <c r="Z44" s="280"/>
      <c r="AA44" s="5"/>
      <c r="AB44" s="5"/>
    </row>
    <row r="45" spans="3:26" ht="15" customHeight="1">
      <c r="C45" s="278"/>
      <c r="D45" s="572"/>
      <c r="E45" s="573"/>
      <c r="F45" s="572"/>
      <c r="G45" s="572"/>
      <c r="H45" s="572"/>
      <c r="I45" s="351"/>
      <c r="J45" s="351"/>
      <c r="K45" s="351"/>
      <c r="L45" s="351"/>
      <c r="M45" s="572"/>
      <c r="N45" s="351"/>
      <c r="Q45" s="764"/>
      <c r="R45" s="281"/>
      <c r="S45" s="281"/>
      <c r="T45" s="281"/>
      <c r="U45" s="381"/>
      <c r="V45" s="280"/>
      <c r="W45" s="280"/>
      <c r="X45" s="280"/>
      <c r="Y45" s="280"/>
      <c r="Z45" s="282"/>
    </row>
    <row r="46" spans="3:27" ht="15" customHeight="1">
      <c r="C46" s="278"/>
      <c r="D46" s="572"/>
      <c r="E46" s="351"/>
      <c r="F46" s="572"/>
      <c r="G46" s="351"/>
      <c r="H46" s="572"/>
      <c r="I46" s="572"/>
      <c r="J46" s="572"/>
      <c r="K46" s="351"/>
      <c r="L46" s="351"/>
      <c r="M46" s="572"/>
      <c r="N46" s="572"/>
      <c r="Q46" s="765"/>
      <c r="R46" s="281"/>
      <c r="S46" s="281"/>
      <c r="T46" s="281"/>
      <c r="U46" s="381"/>
      <c r="V46" s="280"/>
      <c r="W46" s="280"/>
      <c r="X46" s="280"/>
      <c r="Y46" s="280"/>
      <c r="Z46" s="282"/>
      <c r="AA46" s="283"/>
    </row>
    <row r="47" spans="3:27" ht="15" customHeight="1">
      <c r="C47" s="278"/>
      <c r="D47" s="572"/>
      <c r="E47" s="351"/>
      <c r="F47" s="572"/>
      <c r="G47" s="351"/>
      <c r="H47" s="351"/>
      <c r="I47" s="351"/>
      <c r="J47" s="351"/>
      <c r="K47" s="351"/>
      <c r="L47" s="351"/>
      <c r="M47" s="572"/>
      <c r="N47" s="351"/>
      <c r="P47" s="280"/>
      <c r="Q47" s="765"/>
      <c r="R47" s="281"/>
      <c r="S47" s="281"/>
      <c r="T47" s="281"/>
      <c r="U47" s="382"/>
      <c r="V47" s="349"/>
      <c r="W47"/>
      <c r="X47" s="280"/>
      <c r="Y47" s="280"/>
      <c r="Z47" s="282"/>
      <c r="AA47" s="283"/>
    </row>
    <row r="48" spans="3:26" ht="15" customHeight="1">
      <c r="C48" s="278"/>
      <c r="D48" s="572"/>
      <c r="E48" s="351"/>
      <c r="F48" s="572"/>
      <c r="G48" s="351"/>
      <c r="H48" s="351"/>
      <c r="I48" s="351"/>
      <c r="J48" s="351"/>
      <c r="K48" s="351"/>
      <c r="L48" s="351"/>
      <c r="M48" s="351"/>
      <c r="N48" s="351"/>
      <c r="P48" s="280"/>
      <c r="Q48" s="727"/>
      <c r="R48" s="281"/>
      <c r="S48" s="281"/>
      <c r="T48" s="281"/>
      <c r="U48" s="383"/>
      <c r="V48" s="280"/>
      <c r="W48" s="280"/>
      <c r="X48" s="280"/>
      <c r="Y48" s="280"/>
      <c r="Z48" s="282"/>
    </row>
    <row r="49" spans="3:26" ht="15" customHeight="1">
      <c r="C49" s="278"/>
      <c r="D49" s="572"/>
      <c r="E49" s="351"/>
      <c r="F49" s="351"/>
      <c r="G49" s="351"/>
      <c r="H49" s="351"/>
      <c r="I49" s="351"/>
      <c r="J49" s="351"/>
      <c r="K49" s="351"/>
      <c r="L49" s="351"/>
      <c r="M49" s="351"/>
      <c r="N49" s="351"/>
      <c r="P49" s="280"/>
      <c r="R49" s="281"/>
      <c r="S49" s="281"/>
      <c r="T49" s="281"/>
      <c r="U49" s="383"/>
      <c r="V49" s="280"/>
      <c r="W49" s="280"/>
      <c r="X49" s="280"/>
      <c r="Y49" s="280"/>
      <c r="Z49" s="282"/>
    </row>
    <row r="50" spans="3:26" ht="15" customHeight="1">
      <c r="C50" s="278"/>
      <c r="D50" s="572"/>
      <c r="E50" s="351"/>
      <c r="F50" s="572"/>
      <c r="G50" s="285"/>
      <c r="H50" s="572"/>
      <c r="I50" s="574"/>
      <c r="J50" s="351"/>
      <c r="K50" s="351"/>
      <c r="L50" s="351"/>
      <c r="M50" s="285"/>
      <c r="N50" s="575"/>
      <c r="O50" s="284"/>
      <c r="R50" s="281"/>
      <c r="U50" s="417"/>
      <c r="V50" s="378"/>
      <c r="W50" s="378"/>
      <c r="X50" s="378"/>
      <c r="Y50" s="378"/>
      <c r="Z50" s="282"/>
    </row>
    <row r="51" spans="3:25" ht="15" customHeight="1">
      <c r="C51" s="278"/>
      <c r="D51" s="572"/>
      <c r="E51" s="351"/>
      <c r="F51" s="572"/>
      <c r="G51" s="285"/>
      <c r="H51" s="572"/>
      <c r="I51" s="574"/>
      <c r="J51" s="351"/>
      <c r="K51" s="351"/>
      <c r="L51" s="351"/>
      <c r="M51" s="285"/>
      <c r="N51" s="575"/>
      <c r="O51" s="278"/>
      <c r="R51" s="286"/>
      <c r="U51" s="417"/>
      <c r="V51" s="378"/>
      <c r="W51" s="378"/>
      <c r="X51" s="378"/>
      <c r="Y51" s="378"/>
    </row>
    <row r="52" spans="4:25" ht="15" customHeight="1">
      <c r="D52" s="351"/>
      <c r="E52" s="351"/>
      <c r="F52" s="572"/>
      <c r="G52" s="351"/>
      <c r="H52" s="351"/>
      <c r="I52" s="351"/>
      <c r="J52" s="351"/>
      <c r="K52" s="351"/>
      <c r="L52" s="351"/>
      <c r="M52" s="572"/>
      <c r="N52" s="351"/>
      <c r="R52" s="377"/>
      <c r="U52" s="418"/>
      <c r="V52" s="378"/>
      <c r="W52" s="378"/>
      <c r="X52" s="378"/>
      <c r="Y52" s="378"/>
    </row>
    <row r="53" spans="4:25" ht="15" customHeight="1">
      <c r="D53" s="351"/>
      <c r="E53" s="351"/>
      <c r="F53" s="351"/>
      <c r="G53" s="400"/>
      <c r="H53" s="576"/>
      <c r="I53" s="400"/>
      <c r="J53" s="351"/>
      <c r="K53" s="400"/>
      <c r="L53" s="577"/>
      <c r="M53" s="351"/>
      <c r="N53" s="400"/>
      <c r="Q53" s="278">
        <v>3943000</v>
      </c>
      <c r="R53" s="287"/>
      <c r="U53" s="418"/>
      <c r="V53" s="378"/>
      <c r="W53" s="378"/>
      <c r="X53" s="378"/>
      <c r="Y53" s="378"/>
    </row>
    <row r="54" spans="4:25" ht="15" customHeight="1">
      <c r="D54" s="351"/>
      <c r="E54" s="351"/>
      <c r="F54" s="285"/>
      <c r="G54" s="578"/>
      <c r="H54" s="576"/>
      <c r="I54" s="579"/>
      <c r="J54" s="351"/>
      <c r="K54" s="580"/>
      <c r="L54" s="577"/>
      <c r="M54" s="101"/>
      <c r="N54" s="400"/>
      <c r="Q54" s="278"/>
      <c r="R54" s="287"/>
      <c r="U54" s="418"/>
      <c r="V54" s="378"/>
      <c r="W54" s="378"/>
      <c r="X54" s="378"/>
      <c r="Y54" s="378"/>
    </row>
    <row r="55" spans="4:27" ht="15" customHeight="1">
      <c r="D55" s="351"/>
      <c r="E55" s="351"/>
      <c r="F55" s="285"/>
      <c r="G55" s="581"/>
      <c r="H55" s="576"/>
      <c r="I55" s="582"/>
      <c r="J55" s="351"/>
      <c r="K55" s="580"/>
      <c r="L55" s="577"/>
      <c r="M55" s="101"/>
      <c r="N55" s="400"/>
      <c r="Q55" s="280"/>
      <c r="R55" s="281"/>
      <c r="S55" s="281"/>
      <c r="T55" s="281"/>
      <c r="U55" s="419"/>
      <c r="V55" s="280"/>
      <c r="W55" s="280"/>
      <c r="X55" s="280"/>
      <c r="Y55" s="280"/>
      <c r="Z55" s="351"/>
      <c r="AA55" s="351"/>
    </row>
    <row r="56" spans="4:25" ht="15" customHeight="1">
      <c r="D56" s="351"/>
      <c r="E56" s="351"/>
      <c r="F56" s="285"/>
      <c r="G56" s="285"/>
      <c r="H56" s="285"/>
      <c r="I56" s="285"/>
      <c r="J56" s="351"/>
      <c r="K56" s="285"/>
      <c r="L56" s="285"/>
      <c r="M56" s="285"/>
      <c r="N56" s="400"/>
      <c r="Q56" s="278"/>
      <c r="R56" s="287"/>
      <c r="U56" s="418"/>
      <c r="V56" s="378"/>
      <c r="W56" s="378"/>
      <c r="X56" s="378"/>
      <c r="Y56" s="378"/>
    </row>
    <row r="57" spans="4:25" ht="15" customHeight="1">
      <c r="D57" s="351"/>
      <c r="E57" s="351"/>
      <c r="F57" s="285"/>
      <c r="G57" s="578"/>
      <c r="H57" s="576"/>
      <c r="I57" s="579"/>
      <c r="J57" s="351"/>
      <c r="K57" s="580"/>
      <c r="L57" s="577"/>
      <c r="M57" s="101"/>
      <c r="N57" s="400"/>
      <c r="Q57" s="280"/>
      <c r="R57" s="281"/>
      <c r="S57" s="281"/>
      <c r="T57" s="281"/>
      <c r="U57" s="418"/>
      <c r="V57" s="378"/>
      <c r="W57" s="378"/>
      <c r="X57" s="378"/>
      <c r="Y57" s="378"/>
    </row>
    <row r="58" spans="4:25" ht="15" customHeight="1">
      <c r="D58" s="351"/>
      <c r="E58" s="351"/>
      <c r="F58" s="285"/>
      <c r="G58" s="578"/>
      <c r="H58" s="576"/>
      <c r="I58" s="582"/>
      <c r="J58" s="351"/>
      <c r="K58" s="580"/>
      <c r="L58" s="577"/>
      <c r="M58" s="101"/>
      <c r="N58" s="400"/>
      <c r="Q58" s="280"/>
      <c r="R58" s="281"/>
      <c r="S58" s="281"/>
      <c r="T58" s="281"/>
      <c r="U58" s="383"/>
      <c r="V58" s="280"/>
      <c r="W58" s="280"/>
      <c r="X58" s="280"/>
      <c r="Y58" s="280"/>
    </row>
    <row r="59" spans="4:25" ht="15" customHeight="1">
      <c r="D59" s="351"/>
      <c r="E59" s="351"/>
      <c r="F59" s="351"/>
      <c r="G59" s="351"/>
      <c r="H59" s="351"/>
      <c r="I59" s="351"/>
      <c r="J59" s="351"/>
      <c r="K59" s="351"/>
      <c r="L59" s="351"/>
      <c r="M59" s="351"/>
      <c r="N59" s="351"/>
      <c r="Q59" s="280"/>
      <c r="R59" s="281"/>
      <c r="S59" s="281"/>
      <c r="T59" s="281"/>
      <c r="U59" s="383"/>
      <c r="V59" s="280"/>
      <c r="W59" s="280"/>
      <c r="X59" s="280"/>
      <c r="Y59" s="280"/>
    </row>
    <row r="60" spans="4:25" ht="15" customHeight="1">
      <c r="D60" s="351"/>
      <c r="E60" s="351"/>
      <c r="F60" s="351"/>
      <c r="G60" s="351"/>
      <c r="H60" s="351"/>
      <c r="I60" s="351"/>
      <c r="J60" s="351"/>
      <c r="K60" s="351"/>
      <c r="L60" s="351"/>
      <c r="M60" s="351"/>
      <c r="N60" s="351"/>
      <c r="Q60" s="280"/>
      <c r="R60" s="281"/>
      <c r="S60" s="281"/>
      <c r="T60" s="281"/>
      <c r="U60" s="383"/>
      <c r="V60" s="280"/>
      <c r="W60" s="280"/>
      <c r="X60" s="280"/>
      <c r="Y60" s="280"/>
    </row>
    <row r="61" spans="4:27" ht="15" customHeight="1">
      <c r="D61" s="351"/>
      <c r="E61" s="351"/>
      <c r="F61" s="351"/>
      <c r="G61" s="351"/>
      <c r="H61" s="572"/>
      <c r="I61" s="572"/>
      <c r="J61" s="572"/>
      <c r="K61" s="351"/>
      <c r="L61" s="351"/>
      <c r="M61" s="351"/>
      <c r="N61" s="572"/>
      <c r="Q61" s="280"/>
      <c r="R61" s="281"/>
      <c r="S61" s="281"/>
      <c r="T61" s="281"/>
      <c r="U61" s="419"/>
      <c r="V61" s="280"/>
      <c r="W61" s="280"/>
      <c r="X61" s="280"/>
      <c r="Y61" s="280"/>
      <c r="Z61" s="351"/>
      <c r="AA61" s="351"/>
    </row>
    <row r="62" spans="4:27" ht="15" customHeight="1">
      <c r="D62" s="351"/>
      <c r="E62" s="351"/>
      <c r="F62" s="351"/>
      <c r="G62" s="351"/>
      <c r="H62" s="583"/>
      <c r="I62" s="572"/>
      <c r="J62" s="572"/>
      <c r="K62" s="351"/>
      <c r="L62" s="351"/>
      <c r="M62" s="351"/>
      <c r="N62" s="572"/>
      <c r="Q62" s="280"/>
      <c r="R62" s="281"/>
      <c r="S62" s="281"/>
      <c r="T62" s="281"/>
      <c r="U62" s="419"/>
      <c r="V62" s="280"/>
      <c r="W62" s="280"/>
      <c r="X62" s="280"/>
      <c r="Y62" s="280"/>
      <c r="Z62" s="351"/>
      <c r="AA62" s="351"/>
    </row>
    <row r="63" spans="4:27" ht="15" customHeight="1">
      <c r="D63" s="351"/>
      <c r="E63" s="351"/>
      <c r="F63" s="351"/>
      <c r="G63" s="351"/>
      <c r="H63" s="572"/>
      <c r="I63" s="572"/>
      <c r="J63" s="572"/>
      <c r="K63" s="351"/>
      <c r="L63" s="351"/>
      <c r="M63" s="351"/>
      <c r="N63" s="572"/>
      <c r="Q63" s="280"/>
      <c r="R63" s="281"/>
      <c r="S63" s="281"/>
      <c r="T63" s="281"/>
      <c r="U63" s="419"/>
      <c r="V63" s="280"/>
      <c r="W63" s="280"/>
      <c r="X63" s="280"/>
      <c r="Y63" s="280"/>
      <c r="Z63" s="351"/>
      <c r="AA63" s="351"/>
    </row>
    <row r="64" spans="4:27" ht="15" customHeight="1">
      <c r="D64" s="351"/>
      <c r="E64" s="351"/>
      <c r="F64" s="351"/>
      <c r="G64" s="351"/>
      <c r="H64" s="351"/>
      <c r="I64" s="351"/>
      <c r="J64" s="351"/>
      <c r="K64" s="584"/>
      <c r="L64" s="351"/>
      <c r="M64" s="351"/>
      <c r="N64" s="351"/>
      <c r="U64" s="420"/>
      <c r="Z64" s="351"/>
      <c r="AA64" s="351"/>
    </row>
    <row r="65" spans="21:27" ht="15" customHeight="1">
      <c r="U65" s="420"/>
      <c r="Z65" s="351"/>
      <c r="AA65" s="351"/>
    </row>
    <row r="66" spans="21:27" ht="12.75">
      <c r="U66" s="420"/>
      <c r="Z66" s="351"/>
      <c r="AA66" s="351"/>
    </row>
    <row r="67" spans="21:27" ht="12.75">
      <c r="U67" s="420"/>
      <c r="Z67" s="351"/>
      <c r="AA67" s="351"/>
    </row>
    <row r="68" spans="21:27" ht="12.75">
      <c r="U68" s="421"/>
      <c r="Z68" s="351"/>
      <c r="AA68" s="351"/>
    </row>
    <row r="69" spans="1:27" ht="12.75">
      <c r="A69" s="290"/>
      <c r="B69" s="291"/>
      <c r="U69" s="422"/>
      <c r="Z69" s="351"/>
      <c r="AA69" s="351"/>
    </row>
    <row r="70" spans="21:27" ht="12.75">
      <c r="U70" s="421"/>
      <c r="Z70" s="351"/>
      <c r="AA70" s="351"/>
    </row>
    <row r="71" spans="21:27" ht="12.75">
      <c r="U71" s="421"/>
      <c r="Z71" s="351"/>
      <c r="AA71" s="351"/>
    </row>
    <row r="72" spans="21:27" ht="12.75">
      <c r="U72" s="398"/>
      <c r="Z72" s="351"/>
      <c r="AA72" s="351"/>
    </row>
  </sheetData>
  <sheetProtection password="D6C3" sheet="1"/>
  <mergeCells count="25">
    <mergeCell ref="Z4:AA4"/>
    <mergeCell ref="X4:Y4"/>
    <mergeCell ref="U4:U5"/>
    <mergeCell ref="V4:V5"/>
    <mergeCell ref="P4:P5"/>
    <mergeCell ref="Q4:Q5"/>
    <mergeCell ref="R4:R5"/>
    <mergeCell ref="E4:E5"/>
    <mergeCell ref="J4:J5"/>
    <mergeCell ref="Z3:AA3"/>
    <mergeCell ref="A2:B2"/>
    <mergeCell ref="C4:C5"/>
    <mergeCell ref="D4:D5"/>
    <mergeCell ref="F4:F5"/>
    <mergeCell ref="G4:G5"/>
    <mergeCell ref="C3:F3"/>
    <mergeCell ref="J3:L3"/>
    <mergeCell ref="N4:N5"/>
    <mergeCell ref="O4:O5"/>
    <mergeCell ref="M4:M5"/>
    <mergeCell ref="G3:I3"/>
    <mergeCell ref="K4:K5"/>
    <mergeCell ref="H4:H5"/>
    <mergeCell ref="L4:L5"/>
    <mergeCell ref="I4:I5"/>
  </mergeCells>
  <printOptions/>
  <pageMargins left="0.7480314960629921" right="0.7480314960629921" top="0.984251968503937" bottom="0.984251968503937" header="0.5118110236220472" footer="0.5118110236220472"/>
  <pageSetup fitToWidth="4" fitToHeight="1" horizontalDpi="600" verticalDpi="600" orientation="landscape" scale="67" r:id="rId3"/>
  <headerFooter alignWithMargins="0">
    <oddFooter>&amp;L&amp;12Steward Fee-Setting&amp;R&amp;12Stewardship Ontario, 
November, 2013</oddFooter>
  </headerFooter>
  <colBreaks count="1" manualBreakCount="1">
    <brk id="17" max="65535" man="1"/>
  </colBreaks>
  <ignoredErrors>
    <ignoredError sqref="Z8:Z37" formula="1"/>
  </ignoredErrors>
  <legacyDrawing r:id="rId2"/>
</worksheet>
</file>

<file path=xl/worksheets/sheet6.xml><?xml version="1.0" encoding="utf-8"?>
<worksheet xmlns="http://schemas.openxmlformats.org/spreadsheetml/2006/main" xmlns:r="http://schemas.openxmlformats.org/officeDocument/2006/relationships">
  <sheetPr codeName="Sheet4">
    <tabColor indexed="33"/>
    <pageSetUpPr fitToPage="1"/>
  </sheetPr>
  <dimension ref="A1:N59"/>
  <sheetViews>
    <sheetView showGridLines="0" tabSelected="1" zoomScale="70" zoomScaleNormal="70" zoomScalePageLayoutView="0" workbookViewId="0" topLeftCell="A1">
      <pane xSplit="2" ySplit="6" topLeftCell="C7" activePane="bottomRight" state="frozen"/>
      <selection pane="topLeft" activeCell="L44" sqref="L44"/>
      <selection pane="topRight" activeCell="L44" sqref="L44"/>
      <selection pane="bottomLeft" activeCell="L44" sqref="L44"/>
      <selection pane="bottomRight" activeCell="C7" sqref="C7"/>
    </sheetView>
  </sheetViews>
  <sheetFormatPr defaultColWidth="9.140625" defaultRowHeight="18" customHeight="1"/>
  <cols>
    <col min="1" max="1" width="40.00390625" style="5" customWidth="1"/>
    <col min="2" max="2" width="51.140625" style="5" bestFit="1" customWidth="1"/>
    <col min="3" max="4" width="20.57421875" style="5" customWidth="1"/>
    <col min="5" max="5" width="4.7109375" style="1" customWidth="1"/>
    <col min="6" max="6" width="19.140625" style="5" customWidth="1"/>
    <col min="7" max="7" width="5.28125" style="351" customWidth="1"/>
    <col min="8" max="8" width="23.140625" style="5" customWidth="1"/>
    <col min="9" max="9" width="20.7109375" style="5" customWidth="1"/>
    <col min="10" max="16384" width="9.140625" style="5" customWidth="1"/>
  </cols>
  <sheetData>
    <row r="1" spans="1:7" s="715" customFormat="1" ht="36.75" customHeight="1">
      <c r="A1" s="753" t="s">
        <v>183</v>
      </c>
      <c r="B1" s="753"/>
      <c r="E1" s="1"/>
      <c r="G1" s="714"/>
    </row>
    <row r="2" spans="1:7" s="715" customFormat="1" ht="12.75" customHeight="1">
      <c r="A2" s="713"/>
      <c r="B2" s="713"/>
      <c r="E2" s="1"/>
      <c r="G2" s="714"/>
    </row>
    <row r="3" spans="1:7" s="715" customFormat="1" ht="17.25" customHeight="1">
      <c r="A3" s="771"/>
      <c r="B3" s="771"/>
      <c r="C3" s="771"/>
      <c r="D3" s="771"/>
      <c r="E3" s="771"/>
      <c r="F3" s="771"/>
      <c r="G3" s="741"/>
    </row>
    <row r="4" ht="18" customHeight="1" thickBot="1"/>
    <row r="5" spans="1:7" s="627" customFormat="1" ht="52.5" customHeight="1" thickBot="1">
      <c r="A5" s="980" t="s">
        <v>98</v>
      </c>
      <c r="B5" s="978" t="s">
        <v>178</v>
      </c>
      <c r="C5" s="974" t="s">
        <v>183</v>
      </c>
      <c r="D5" s="975"/>
      <c r="E5" s="731"/>
      <c r="F5" s="716" t="s">
        <v>107</v>
      </c>
      <c r="G5" s="773"/>
    </row>
    <row r="6" spans="1:9" s="627" customFormat="1" ht="70.5" customHeight="1">
      <c r="A6" s="981"/>
      <c r="B6" s="979"/>
      <c r="C6" s="799" t="s">
        <v>149</v>
      </c>
      <c r="D6" s="800" t="s">
        <v>122</v>
      </c>
      <c r="E6" s="1"/>
      <c r="F6" s="717" t="s">
        <v>148</v>
      </c>
      <c r="G6" s="774"/>
      <c r="H6" s="777" t="s">
        <v>120</v>
      </c>
      <c r="I6" s="778" t="s">
        <v>121</v>
      </c>
    </row>
    <row r="7" spans="1:14" ht="18" customHeight="1">
      <c r="A7" s="816" t="s">
        <v>83</v>
      </c>
      <c r="B7" s="615" t="s">
        <v>156</v>
      </c>
      <c r="C7" s="719">
        <f>'Sheet 3 Disaggregated Fees'!Z8*100/1000</f>
        <v>2.929220606752563</v>
      </c>
      <c r="D7" s="788">
        <f>+ROUNDUP('Sheet 3 Disaggregated Fees'!U8/'Sheet 3 Disaggregated Fees'!V8*ROUNDUP(((('Sheet 3 Disaggregated Fees'!V8/'Sheet 3 Disaggregated Fees'!W8*'Sheet 4 Fee Schedule'!$F$7)+SUM('Sheet 3 Disaggregated Fees'!$V$8:$V$12)/SUM('Sheet 3 Disaggregated Fees'!$W$8:$W$12)*(1-'Sheet 4 Fee Schedule'!$F$7))*10/100),2),2)</f>
        <v>0.3</v>
      </c>
      <c r="F7" s="972">
        <v>0.5225</v>
      </c>
      <c r="G7" s="775"/>
      <c r="H7" s="789">
        <f>D7</f>
        <v>0.3</v>
      </c>
      <c r="I7" s="790">
        <f>+ROUNDUP((($F$7)*'Sheet 3 Disaggregated Fees'!$V$8+((1-$F$7)*'Sheet 3 Disaggregated Fees'!$W$8*SUM('Sheet 3 Disaggregated Fees'!$V$8:$V$12)/SUM('Sheet 3 Disaggregated Fees'!$W$8:$W$12)))/'Sheet 3 Disaggregated Fees'!$W$8*100/1000-H7,2)</f>
        <v>3.96</v>
      </c>
      <c r="M7" s="627"/>
      <c r="N7" s="627"/>
    </row>
    <row r="8" spans="1:14" ht="18" customHeight="1" thickBot="1">
      <c r="A8" s="816" t="s">
        <v>64</v>
      </c>
      <c r="B8" s="615" t="s">
        <v>157</v>
      </c>
      <c r="C8" s="719">
        <f>'Sheet 3 Disaggregated Fees'!Z9*100/1000</f>
        <v>2.769813751045879</v>
      </c>
      <c r="D8" s="788">
        <f>+ROUNDUP((($F$7)*'Sheet 3 Disaggregated Fees'!$V$9+((1-$F$7)*'Sheet 3 Disaggregated Fees'!$W$9*SUM('Sheet 3 Disaggregated Fees'!$V$8:$V$12)/SUM('Sheet 3 Disaggregated Fees'!$W$8:$W$12)))/'Sheet 3 Disaggregated Fees'!$W$9*100/1000,2)</f>
        <v>4.18</v>
      </c>
      <c r="F8" s="976"/>
      <c r="G8" s="776"/>
      <c r="H8" s="779">
        <f>H7*'Sheet 3 Disaggregated Fees'!W8*10</f>
        <v>480069.8661</v>
      </c>
      <c r="I8" s="780">
        <f>I7*'Sheet 3 Disaggregated Fees'!W8*10</f>
        <v>6336922.232520001</v>
      </c>
      <c r="M8" s="627"/>
      <c r="N8" s="627"/>
    </row>
    <row r="9" spans="1:14" ht="18" customHeight="1" thickBot="1">
      <c r="A9" s="816" t="s">
        <v>3</v>
      </c>
      <c r="B9" s="615" t="s">
        <v>3</v>
      </c>
      <c r="C9" s="719">
        <f>'Sheet 3 Disaggregated Fees'!Z10*100/1000</f>
        <v>5.708872915654386</v>
      </c>
      <c r="D9" s="788">
        <f>+ROUNDUP((($F$7)*(SUM('Sheet 3 Disaggregated Fees'!$V$10:$V$12)/SUM('Sheet 3 Disaggregated Fees'!$W$10:$W$12))*$I$10+$F$7*('Sheet 3 Disaggregated Fees'!V10/'Sheet 3 Disaggregated Fees'!W10)*(1-$I$10)+((1-$F$7)*SUM('Sheet 3 Disaggregated Fees'!$W$10:$W$12)*SUM('Sheet 3 Disaggregated Fees'!$V$8:$V$12)/SUM('Sheet 3 Disaggregated Fees'!$W$8:$W$12))/SUM('Sheet 3 Disaggregated Fees'!$W$10:W$12))*100/1000,2)</f>
        <v>6.74</v>
      </c>
      <c r="F9" s="976"/>
      <c r="G9" s="776"/>
      <c r="H9" s="797"/>
      <c r="I9" s="797"/>
      <c r="M9" s="627"/>
      <c r="N9" s="627"/>
    </row>
    <row r="10" spans="1:14" ht="18" customHeight="1">
      <c r="A10" s="816" t="s">
        <v>1</v>
      </c>
      <c r="B10" s="615" t="s">
        <v>158</v>
      </c>
      <c r="C10" s="719">
        <f>'Sheet 3 Disaggregated Fees'!Z11*100/1000</f>
        <v>4.993003115437144</v>
      </c>
      <c r="D10" s="788">
        <f>+ROUNDUP((($F$7)*(SUM('Sheet 3 Disaggregated Fees'!$V$10:$V$12)/SUM('Sheet 3 Disaggregated Fees'!$W$10:$W$12))*$I$10+$F$7*('Sheet 3 Disaggregated Fees'!V11/'Sheet 3 Disaggregated Fees'!W11)*(1-$I$10)+((1-$F$7)*SUM('Sheet 3 Disaggregated Fees'!$W$10:$W$12)*SUM('Sheet 3 Disaggregated Fees'!$V$8:$V$12)/SUM('Sheet 3 Disaggregated Fees'!$W$8:$W$12))/SUM('Sheet 3 Disaggregated Fees'!$W$10:W$12))*100/1000,2)</f>
        <v>6.46</v>
      </c>
      <c r="F10" s="976"/>
      <c r="G10" s="776"/>
      <c r="H10" s="966" t="s">
        <v>180</v>
      </c>
      <c r="I10" s="969">
        <v>0.25</v>
      </c>
      <c r="M10" s="627"/>
      <c r="N10" s="627"/>
    </row>
    <row r="11" spans="1:14" ht="18" customHeight="1">
      <c r="A11" s="816" t="s">
        <v>2</v>
      </c>
      <c r="B11" s="615" t="s">
        <v>159</v>
      </c>
      <c r="C11" s="719">
        <f>'Sheet 3 Disaggregated Fees'!Z12*100/1000</f>
        <v>19.8739472927573</v>
      </c>
      <c r="D11" s="788">
        <f>+ROUNDUP((($F$7)*(SUM('Sheet 3 Disaggregated Fees'!$V$10:$V$12)/SUM('Sheet 3 Disaggregated Fees'!$W$10:$W$12))*$I$10+$F$7*('Sheet 3 Disaggregated Fees'!V12/'Sheet 3 Disaggregated Fees'!W12)*(1-$I$10)+((1-$F$7)*SUM('Sheet 3 Disaggregated Fees'!$W$10:$W$12)*SUM('Sheet 3 Disaggregated Fees'!$V$8:$V$12)/SUM('Sheet 3 Disaggregated Fees'!$W$8:$W$12))/SUM('Sheet 3 Disaggregated Fees'!$W$10:W$12))*100/1000,2)</f>
        <v>12.29</v>
      </c>
      <c r="F11" s="973"/>
      <c r="G11" s="776"/>
      <c r="H11" s="967"/>
      <c r="I11" s="970"/>
      <c r="M11" s="627"/>
      <c r="N11" s="627"/>
    </row>
    <row r="12" spans="1:14" ht="18" customHeight="1" thickBot="1">
      <c r="A12" s="818" t="s">
        <v>173</v>
      </c>
      <c r="B12" s="616"/>
      <c r="C12" s="720">
        <f>'Sheet 3 Disaggregated Fees'!Z13*100/1000</f>
        <v>5.714728798180544</v>
      </c>
      <c r="D12" s="791"/>
      <c r="F12" s="721"/>
      <c r="H12" s="968"/>
      <c r="I12" s="971"/>
      <c r="M12" s="627"/>
      <c r="N12" s="627"/>
    </row>
    <row r="13" spans="1:14" ht="18" customHeight="1">
      <c r="A13" s="816" t="s">
        <v>133</v>
      </c>
      <c r="B13" s="615" t="s">
        <v>133</v>
      </c>
      <c r="C13" s="719">
        <f>'Sheet 3 Disaggregated Fees'!Z16*100/1000</f>
        <v>10.253167034273375</v>
      </c>
      <c r="D13" s="788">
        <f>+ROUNDUP((($F$13)*SUM('Sheet 3 Disaggregated Fees'!$V$16,'Sheet 3 Disaggregated Fees'!$V$17)+((1-$F$13)*SUM('Sheet 3 Disaggregated Fees'!$W$16,'Sheet 3 Disaggregated Fees'!$W$17)*SUM('Sheet 3 Disaggregated Fees'!$V$16:$V$20)/SUM('Sheet 3 Disaggregated Fees'!$W$16:$W$20)))/SUM('Sheet 3 Disaggregated Fees'!$W$16,'Sheet 3 Disaggregated Fees'!$W$17)*100/1000,2)</f>
        <v>8.1</v>
      </c>
      <c r="F13" s="972">
        <v>1</v>
      </c>
      <c r="G13" s="776"/>
      <c r="I13" s="797"/>
      <c r="M13" s="627"/>
      <c r="N13" s="627"/>
    </row>
    <row r="14" spans="1:14" ht="18" customHeight="1">
      <c r="A14" s="816" t="s">
        <v>135</v>
      </c>
      <c r="B14" s="615" t="s">
        <v>160</v>
      </c>
      <c r="C14" s="719">
        <f>'Sheet 3 Disaggregated Fees'!Z17*100/1000</f>
        <v>6.40739549808332</v>
      </c>
      <c r="D14" s="788">
        <f>+ROUNDUP((($F$13)*SUM('Sheet 3 Disaggregated Fees'!$V$16,'Sheet 3 Disaggregated Fees'!$V$17)+((1-$F$13)*SUM('Sheet 3 Disaggregated Fees'!$W$16,'Sheet 3 Disaggregated Fees'!$W$17)*SUM('Sheet 3 Disaggregated Fees'!$V$16:$V$20)/SUM('Sheet 3 Disaggregated Fees'!$W$16:$W$20)))/SUM('Sheet 3 Disaggregated Fees'!$W$16,'Sheet 3 Disaggregated Fees'!$W$17)*100/1000,2)</f>
        <v>8.1</v>
      </c>
      <c r="F14" s="976"/>
      <c r="G14" s="776"/>
      <c r="H14"/>
      <c r="I14" s="783"/>
      <c r="M14" s="627"/>
      <c r="N14" s="627"/>
    </row>
    <row r="15" spans="1:14" ht="18" customHeight="1">
      <c r="A15" s="816" t="s">
        <v>134</v>
      </c>
      <c r="B15" s="615" t="s">
        <v>161</v>
      </c>
      <c r="C15" s="719">
        <f>'Sheet 3 Disaggregated Fees'!Z18*100/1000</f>
        <v>15.738464990702349</v>
      </c>
      <c r="D15" s="788">
        <f>+ROUNDUP((($F$13)*SUM('Sheet 3 Disaggregated Fees'!$V$18:$V$20)+((1-$F$13)*SUM('Sheet 3 Disaggregated Fees'!$W$18:$W$20)*SUM('Sheet 3 Disaggregated Fees'!$V$16:$V$20)/SUM('Sheet 3 Disaggregated Fees'!$W$16:$W$20)))/SUM('Sheet 3 Disaggregated Fees'!$W$18:$W$20)*100/1000,2)</f>
        <v>18.19</v>
      </c>
      <c r="F15" s="976"/>
      <c r="G15" s="776"/>
      <c r="H15"/>
      <c r="I15" s="783"/>
      <c r="M15" s="627"/>
      <c r="N15" s="627"/>
    </row>
    <row r="16" spans="1:14" ht="18" customHeight="1">
      <c r="A16" s="816" t="s">
        <v>162</v>
      </c>
      <c r="B16" s="615" t="s">
        <v>162</v>
      </c>
      <c r="C16" s="719">
        <f>'Sheet 3 Disaggregated Fees'!Z19*100/1000</f>
        <v>20.806878430534933</v>
      </c>
      <c r="D16" s="788">
        <f>+ROUNDUP((($F$13)*SUM('Sheet 3 Disaggregated Fees'!$V$18:$V$20)+((1-$F$13)*SUM('Sheet 3 Disaggregated Fees'!$W$18:$W$20)*SUM('Sheet 3 Disaggregated Fees'!$V$16:$V$20)/SUM('Sheet 3 Disaggregated Fees'!$W$16:$W$20)))/SUM('Sheet 3 Disaggregated Fees'!$W$18:$W$20)*100/1000,2)</f>
        <v>18.19</v>
      </c>
      <c r="F16" s="976"/>
      <c r="G16" s="776"/>
      <c r="H16" s="796"/>
      <c r="I16" s="783"/>
      <c r="M16" s="627"/>
      <c r="N16" s="627"/>
    </row>
    <row r="17" spans="1:14" ht="18" customHeight="1">
      <c r="A17" s="816" t="s">
        <v>5</v>
      </c>
      <c r="B17" s="615" t="s">
        <v>5</v>
      </c>
      <c r="C17" s="719">
        <f>'Sheet 3 Disaggregated Fees'!Z20*100/1000</f>
        <v>12.829272480264297</v>
      </c>
      <c r="D17" s="788">
        <f>+ROUNDUP((($F$13)*SUM('Sheet 3 Disaggregated Fees'!$V$18:$V$20)+((1-$F$13)*SUM('Sheet 3 Disaggregated Fees'!$W$18:$W$20)*SUM('Sheet 3 Disaggregated Fees'!$V$16:$V$20)/SUM('Sheet 3 Disaggregated Fees'!$W$16:$W$20)))/SUM('Sheet 3 Disaggregated Fees'!$W$18:$W$20)*100/1000,2)</f>
        <v>18.19</v>
      </c>
      <c r="F17" s="973"/>
      <c r="G17" s="776"/>
      <c r="H17"/>
      <c r="I17" s="783"/>
      <c r="M17" s="627"/>
      <c r="N17" s="627"/>
    </row>
    <row r="18" spans="1:14" ht="18" customHeight="1">
      <c r="A18" s="818" t="s">
        <v>4</v>
      </c>
      <c r="B18" s="616"/>
      <c r="C18" s="720">
        <f>'Sheet 3 Disaggregated Fees'!Z21*100/1000</f>
        <v>9.477554880836074</v>
      </c>
      <c r="D18" s="791"/>
      <c r="F18" s="721"/>
      <c r="H18"/>
      <c r="I18" s="783"/>
      <c r="M18" s="627"/>
      <c r="N18" s="627"/>
    </row>
    <row r="19" spans="1:14" ht="18" customHeight="1">
      <c r="A19" s="977" t="s">
        <v>136</v>
      </c>
      <c r="B19" s="615" t="s">
        <v>136</v>
      </c>
      <c r="C19" s="719">
        <f>'Sheet 3 Disaggregated Fees'!Z22*100/1000</f>
        <v>14.01180815478071</v>
      </c>
      <c r="D19" s="788">
        <f>+ROUNDUP((($F$19)*'Sheet 3 Disaggregated Fees'!$V$22+((1-$F$19)*'Sheet 3 Disaggregated Fees'!$W$22*SUM('Sheet 3 Disaggregated Fees'!$V$22:$V$27)/SUM('Sheet 3 Disaggregated Fees'!$W$22:$W$27)))/'Sheet 3 Disaggregated Fees'!$W$22*100/1000,2)</f>
        <v>14.02</v>
      </c>
      <c r="F19" s="972">
        <v>1</v>
      </c>
      <c r="G19" s="776"/>
      <c r="H19"/>
      <c r="I19" s="783"/>
      <c r="M19" s="627"/>
      <c r="N19" s="627"/>
    </row>
    <row r="20" spans="1:14" ht="18" customHeight="1">
      <c r="A20" s="977"/>
      <c r="B20" s="615" t="s">
        <v>163</v>
      </c>
      <c r="C20" s="719">
        <f>'Sheet 3 Disaggregated Fees'!Z22*100/1000</f>
        <v>14.01180815478071</v>
      </c>
      <c r="D20" s="788">
        <f>+ROUNDUP((($F$19)*'Sheet 3 Disaggregated Fees'!$V$22+((1-$F$19)*'Sheet 3 Disaggregated Fees'!$W$22*SUM('Sheet 3 Disaggregated Fees'!$V$22:$V$27)/SUM('Sheet 3 Disaggregated Fees'!$W$22:$W$27)))/'Sheet 3 Disaggregated Fees'!$W$22*100/1000,2)</f>
        <v>14.02</v>
      </c>
      <c r="F20" s="976"/>
      <c r="G20" s="776"/>
      <c r="H20"/>
      <c r="I20" s="783"/>
      <c r="M20" s="627"/>
      <c r="N20" s="627"/>
    </row>
    <row r="21" spans="1:14" ht="18" customHeight="1">
      <c r="A21" s="977" t="s">
        <v>137</v>
      </c>
      <c r="B21" s="615" t="s">
        <v>164</v>
      </c>
      <c r="C21" s="719">
        <f>'Sheet 3 Disaggregated Fees'!Z23*100/1000</f>
        <v>12.619903719153545</v>
      </c>
      <c r="D21" s="788">
        <f>+ROUNDUP((($F$19)*'Sheet 3 Disaggregated Fees'!$V$23+((1-$F$19)*'Sheet 3 Disaggregated Fees'!$W$23*SUM('Sheet 3 Disaggregated Fees'!$V$22:$V$27)/SUM('Sheet 3 Disaggregated Fees'!$W$22:$W$27)))/'Sheet 3 Disaggregated Fees'!$W$23*100/1000,2)</f>
        <v>12.62</v>
      </c>
      <c r="F21" s="976"/>
      <c r="G21" s="776"/>
      <c r="H21"/>
      <c r="I21" s="783"/>
      <c r="M21" s="627"/>
      <c r="N21" s="627"/>
    </row>
    <row r="22" spans="1:14" ht="18" customHeight="1">
      <c r="A22" s="977"/>
      <c r="B22" s="615" t="s">
        <v>165</v>
      </c>
      <c r="C22" s="719">
        <f>'Sheet 3 Disaggregated Fees'!Z23*100/1000</f>
        <v>12.619903719153545</v>
      </c>
      <c r="D22" s="788">
        <f>+ROUNDUP((($F$19)*'Sheet 3 Disaggregated Fees'!$V$23+((1-$F$19)*'Sheet 3 Disaggregated Fees'!$W$23*SUM('Sheet 3 Disaggregated Fees'!$V$22:$V$27)/SUM('Sheet 3 Disaggregated Fees'!$W$22:$W$27)))/'Sheet 3 Disaggregated Fees'!$W$23*100/1000,2)</f>
        <v>12.62</v>
      </c>
      <c r="F22" s="976"/>
      <c r="G22" s="776"/>
      <c r="H22"/>
      <c r="I22" s="783"/>
      <c r="M22" s="627"/>
      <c r="N22" s="627"/>
    </row>
    <row r="23" spans="1:14" ht="18" customHeight="1">
      <c r="A23" s="977" t="s">
        <v>6</v>
      </c>
      <c r="B23" s="615" t="s">
        <v>166</v>
      </c>
      <c r="C23" s="719">
        <f>'Sheet 3 Disaggregated Fees'!Z24*100/1000</f>
        <v>23.283341902433932</v>
      </c>
      <c r="D23" s="788">
        <f>+ROUNDUP((($F$19)*SUM('Sheet 3 Disaggregated Fees'!$V$24:$V$27)+((1-$F$19)*SUM('Sheet 3 Disaggregated Fees'!$W$24:$W$27)*SUM('Sheet 3 Disaggregated Fees'!$V$22:$V$27)/SUM('Sheet 3 Disaggregated Fees'!$W$22:$W$27)))/SUM('Sheet 3 Disaggregated Fees'!$W$24:$W$27)*100/1000,2)</f>
        <v>22.540000000000003</v>
      </c>
      <c r="F23" s="976"/>
      <c r="G23" s="776"/>
      <c r="H23"/>
      <c r="I23" s="783"/>
      <c r="M23" s="627"/>
      <c r="N23" s="627"/>
    </row>
    <row r="24" spans="1:14" ht="18" customHeight="1">
      <c r="A24" s="977"/>
      <c r="B24" s="615" t="s">
        <v>167</v>
      </c>
      <c r="C24" s="719">
        <f>'Sheet 3 Disaggregated Fees'!Z24*100/1000</f>
        <v>23.283341902433932</v>
      </c>
      <c r="D24" s="788">
        <f>+ROUNDUP((($F$19)*SUM('Sheet 3 Disaggregated Fees'!$V$24:$V$27)+((1-$F$19)*SUM('Sheet 3 Disaggregated Fees'!$W$24:$W$27)*SUM('Sheet 3 Disaggregated Fees'!$V$22:$V$27)/SUM('Sheet 3 Disaggregated Fees'!$W$22:$W$27)))/SUM('Sheet 3 Disaggregated Fees'!$W$24:$W$27)*100/1000,2)</f>
        <v>22.540000000000003</v>
      </c>
      <c r="F24" s="976"/>
      <c r="G24" s="776"/>
      <c r="H24"/>
      <c r="I24" s="783"/>
      <c r="M24" s="627"/>
      <c r="N24" s="627"/>
    </row>
    <row r="25" spans="1:14" ht="18" customHeight="1">
      <c r="A25" s="977"/>
      <c r="B25" s="615" t="s">
        <v>170</v>
      </c>
      <c r="C25" s="719">
        <f>'Sheet 3 Disaggregated Fees'!Z24*100/1000</f>
        <v>23.283341902433932</v>
      </c>
      <c r="D25" s="788">
        <f>+ROUNDUP((($F$19)*SUM('Sheet 3 Disaggregated Fees'!$V$24:$V$27)+((1-$F$19)*SUM('Sheet 3 Disaggregated Fees'!$W$24:$W$27)*SUM('Sheet 3 Disaggregated Fees'!$V$22:$V$27)/SUM('Sheet 3 Disaggregated Fees'!$W$22:$W$27)))/SUM('Sheet 3 Disaggregated Fees'!$W$24:$W$27)*100/1000,2)</f>
        <v>22.540000000000003</v>
      </c>
      <c r="F25" s="976"/>
      <c r="G25" s="776"/>
      <c r="H25"/>
      <c r="I25" s="783"/>
      <c r="M25" s="627"/>
      <c r="N25" s="627"/>
    </row>
    <row r="26" spans="1:14" ht="18" customHeight="1">
      <c r="A26" s="816" t="s">
        <v>175</v>
      </c>
      <c r="B26" s="615" t="s">
        <v>175</v>
      </c>
      <c r="C26" s="719">
        <f>'Sheet 3 Disaggregated Fees'!Z25*100/1000</f>
        <v>29.50651229477922</v>
      </c>
      <c r="D26" s="788">
        <f>+ROUNDUP((($F$19)*SUM('Sheet 3 Disaggregated Fees'!$V$24:$V$27)+((1-$F$19)*SUM('Sheet 3 Disaggregated Fees'!$W$24:$W$27)*SUM('Sheet 3 Disaggregated Fees'!$V$22:$V$27)/SUM('Sheet 3 Disaggregated Fees'!$W$22:$W$27)))/SUM('Sheet 3 Disaggregated Fees'!$W$24:$W$27)*100/1000,2)</f>
        <v>22.540000000000003</v>
      </c>
      <c r="F26" s="976"/>
      <c r="G26" s="776"/>
      <c r="M26" s="627"/>
      <c r="N26" s="627"/>
    </row>
    <row r="27" spans="1:14" ht="18" customHeight="1">
      <c r="A27" s="977" t="s">
        <v>7</v>
      </c>
      <c r="B27" s="615" t="s">
        <v>168</v>
      </c>
      <c r="C27" s="719">
        <f>'Sheet 3 Disaggregated Fees'!Z26*100/1000</f>
        <v>34.514858244844184</v>
      </c>
      <c r="D27" s="788">
        <f>+ROUNDUP((($F$19)*SUM('Sheet 3 Disaggregated Fees'!$V$24:$V$27)+((1-$F$19)*SUM('Sheet 3 Disaggregated Fees'!$W$24:$W$27)*SUM('Sheet 3 Disaggregated Fees'!$V$22:$V$27)/SUM('Sheet 3 Disaggregated Fees'!$W$22:$W$27)))/SUM('Sheet 3 Disaggregated Fees'!$W$24:$W$27)*100/1000,2)</f>
        <v>22.540000000000003</v>
      </c>
      <c r="F27" s="976"/>
      <c r="G27" s="776"/>
      <c r="I27" s="782"/>
      <c r="M27" s="627"/>
      <c r="N27" s="627"/>
    </row>
    <row r="28" spans="1:14" ht="18" customHeight="1">
      <c r="A28" s="977"/>
      <c r="B28" s="615" t="s">
        <v>169</v>
      </c>
      <c r="C28" s="719">
        <f>'Sheet 3 Disaggregated Fees'!Z26*100/1000</f>
        <v>34.514858244844184</v>
      </c>
      <c r="D28" s="788">
        <f>+ROUNDUP((($F$19)*SUM('Sheet 3 Disaggregated Fees'!$V$24:$V$27)+((1-$F$19)*SUM('Sheet 3 Disaggregated Fees'!$W$24:$W$27)*SUM('Sheet 3 Disaggregated Fees'!$V$22:$V$27)/SUM('Sheet 3 Disaggregated Fees'!$W$22:$W$27)))/SUM('Sheet 3 Disaggregated Fees'!$W$24:$W$27)*100/1000,2)</f>
        <v>22.540000000000003</v>
      </c>
      <c r="F28" s="976"/>
      <c r="G28" s="776"/>
      <c r="I28" s="782"/>
      <c r="M28" s="627"/>
      <c r="N28" s="627"/>
    </row>
    <row r="29" spans="1:14" ht="18" customHeight="1">
      <c r="A29" s="977" t="s">
        <v>8</v>
      </c>
      <c r="B29" s="615" t="s">
        <v>171</v>
      </c>
      <c r="C29" s="719">
        <f>'Sheet 3 Disaggregated Fees'!Z27*100/1000</f>
        <v>17.099711474725034</v>
      </c>
      <c r="D29" s="788">
        <f>+ROUNDUP((($F$19)*SUM('Sheet 3 Disaggregated Fees'!$V$24:$V$27)+((1-$F$19)*SUM('Sheet 3 Disaggregated Fees'!$W$24:$W$27)*SUM('Sheet 3 Disaggregated Fees'!$V$22:$V$27)/SUM('Sheet 3 Disaggregated Fees'!$W$22:$W$27)))/SUM('Sheet 3 Disaggregated Fees'!$W$24:$W$27)*100/1000,2)</f>
        <v>22.540000000000003</v>
      </c>
      <c r="F29" s="976"/>
      <c r="G29" s="776"/>
      <c r="M29" s="627"/>
      <c r="N29" s="627"/>
    </row>
    <row r="30" spans="1:14" ht="18" customHeight="1">
      <c r="A30" s="977"/>
      <c r="B30" s="615" t="s">
        <v>172</v>
      </c>
      <c r="C30" s="719">
        <f>'Sheet 3 Disaggregated Fees'!Z27*100/1000</f>
        <v>17.099711474725034</v>
      </c>
      <c r="D30" s="788">
        <f>+ROUNDUP((($F$19)*SUM('Sheet 3 Disaggregated Fees'!$V$24:$V$27)+((1-$F$19)*SUM('Sheet 3 Disaggregated Fees'!$W$24:$W$27)*SUM('Sheet 3 Disaggregated Fees'!$V$22:$V$27)/SUM('Sheet 3 Disaggregated Fees'!$W$22:$W$27)))/SUM('Sheet 3 Disaggregated Fees'!$W$24:$W$27)*100/1000,2)</f>
        <v>22.540000000000003</v>
      </c>
      <c r="F30" s="976"/>
      <c r="G30" s="776"/>
      <c r="M30" s="627"/>
      <c r="N30" s="627"/>
    </row>
    <row r="31" spans="1:14" ht="18" customHeight="1">
      <c r="A31" s="977"/>
      <c r="B31" s="615" t="s">
        <v>193</v>
      </c>
      <c r="C31" s="719">
        <f>'Sheet 3 Disaggregated Fees'!Z27*100/1000</f>
        <v>17.099711474725034</v>
      </c>
      <c r="D31" s="788">
        <f>+ROUNDUP((($F$19)*SUM('Sheet 3 Disaggregated Fees'!$V$24:$V$27)+((1-$F$19)*SUM('Sheet 3 Disaggregated Fees'!$W$24:$W$27)*SUM('Sheet 3 Disaggregated Fees'!$V$22:$V$27)/SUM('Sheet 3 Disaggregated Fees'!$W$22:$W$27)))/SUM('Sheet 3 Disaggregated Fees'!$W$24:$W$27)*100/1000,2)</f>
        <v>22.540000000000003</v>
      </c>
      <c r="F31" s="973"/>
      <c r="G31" s="776"/>
      <c r="M31" s="627"/>
      <c r="N31" s="627"/>
    </row>
    <row r="32" spans="1:14" ht="18" customHeight="1">
      <c r="A32" s="818" t="s">
        <v>43</v>
      </c>
      <c r="B32" s="616"/>
      <c r="C32" s="720">
        <f>'Sheet 3 Disaggregated Fees'!Z28*100/1000</f>
        <v>19.411813015350162</v>
      </c>
      <c r="D32" s="791"/>
      <c r="F32" s="721"/>
      <c r="M32" s="627"/>
      <c r="N32" s="627"/>
    </row>
    <row r="33" spans="1:14" ht="18" customHeight="1">
      <c r="A33" s="816" t="s">
        <v>94</v>
      </c>
      <c r="B33" s="615" t="s">
        <v>176</v>
      </c>
      <c r="C33" s="719">
        <f>'Sheet 3 Disaggregated Fees'!Z29*100/1000</f>
        <v>4.437912665427799</v>
      </c>
      <c r="D33" s="788">
        <f>+ROUNDUP(C36,2)</f>
        <v>5.06</v>
      </c>
      <c r="F33" s="972">
        <v>0</v>
      </c>
      <c r="M33" s="627"/>
      <c r="N33" s="627"/>
    </row>
    <row r="34" spans="1:14" ht="18" customHeight="1">
      <c r="A34" s="816" t="s">
        <v>95</v>
      </c>
      <c r="B34" s="615" t="s">
        <v>191</v>
      </c>
      <c r="C34" s="719">
        <f>'Sheet 3 Disaggregated Fees'!Z30*100/1000</f>
        <v>7.254517548135091</v>
      </c>
      <c r="D34" s="788">
        <f>+ROUNDUP(C36,2)</f>
        <v>5.06</v>
      </c>
      <c r="F34" s="976"/>
      <c r="M34" s="627"/>
      <c r="N34" s="627"/>
    </row>
    <row r="35" spans="1:14" ht="18" customHeight="1">
      <c r="A35" s="816" t="s">
        <v>96</v>
      </c>
      <c r="B35" s="615" t="s">
        <v>96</v>
      </c>
      <c r="C35" s="719">
        <f>'Sheet 3 Disaggregated Fees'!Z31*100/1000</f>
        <v>9.951201154436458</v>
      </c>
      <c r="D35" s="788">
        <f>+ROUNDUP(C36,2)</f>
        <v>5.06</v>
      </c>
      <c r="F35" s="973"/>
      <c r="M35" s="627"/>
      <c r="N35" s="627"/>
    </row>
    <row r="36" spans="1:14" ht="18" customHeight="1">
      <c r="A36" s="818" t="s">
        <v>174</v>
      </c>
      <c r="B36" s="616"/>
      <c r="C36" s="720">
        <f>'Sheet 3 Disaggregated Fees'!Z32*100/1000</f>
        <v>5.052083379865338</v>
      </c>
      <c r="D36" s="791"/>
      <c r="F36" s="721"/>
      <c r="M36" s="627"/>
      <c r="N36" s="627"/>
    </row>
    <row r="37" spans="1:14" ht="18" customHeight="1">
      <c r="A37" s="816" t="s">
        <v>97</v>
      </c>
      <c r="B37" s="615" t="s">
        <v>177</v>
      </c>
      <c r="C37" s="719">
        <f>'Sheet 3 Disaggregated Fees'!Z33*100/1000</f>
        <v>1.7604908562325463</v>
      </c>
      <c r="D37" s="788">
        <f>+ROUNDUP(C37,2)</f>
        <v>1.77</v>
      </c>
      <c r="F37" s="972">
        <v>1</v>
      </c>
      <c r="M37" s="627"/>
      <c r="N37" s="627"/>
    </row>
    <row r="38" spans="1:14" ht="18" customHeight="1">
      <c r="A38" s="977" t="s">
        <v>82</v>
      </c>
      <c r="B38" s="615" t="s">
        <v>192</v>
      </c>
      <c r="C38" s="719">
        <f>'Sheet 3 Disaggregated Fees'!Z34*100/1000</f>
        <v>6.568217711223856</v>
      </c>
      <c r="D38" s="788">
        <f>+ROUNDUP(C38,2)</f>
        <v>6.569999999999999</v>
      </c>
      <c r="F38" s="976"/>
      <c r="M38" s="627"/>
      <c r="N38" s="627"/>
    </row>
    <row r="39" spans="1:14" ht="18" customHeight="1">
      <c r="A39" s="977"/>
      <c r="B39" s="615" t="s">
        <v>82</v>
      </c>
      <c r="C39" s="719">
        <f>'Sheet 3 Disaggregated Fees'!Z34*100/1000</f>
        <v>6.568217711223856</v>
      </c>
      <c r="D39" s="788">
        <f>+ROUNDUP(C38,2)</f>
        <v>6.569999999999999</v>
      </c>
      <c r="F39" s="973"/>
      <c r="M39" s="627"/>
      <c r="N39" s="627"/>
    </row>
    <row r="40" spans="1:14" ht="18" customHeight="1">
      <c r="A40" s="818" t="s">
        <v>45</v>
      </c>
      <c r="B40" s="616"/>
      <c r="C40" s="720">
        <f>'Sheet 3 Disaggregated Fees'!Z35*100/1000</f>
        <v>2.6320970573674414</v>
      </c>
      <c r="D40" s="791"/>
      <c r="F40" s="721"/>
      <c r="M40" s="627"/>
      <c r="N40" s="627"/>
    </row>
    <row r="41" spans="1:14" ht="18" customHeight="1">
      <c r="A41" s="816" t="s">
        <v>109</v>
      </c>
      <c r="B41" s="615" t="s">
        <v>109</v>
      </c>
      <c r="C41" s="719">
        <f>'Sheet 3 Disaggregated Fees'!Z36*100/1000</f>
        <v>2.705045380329672</v>
      </c>
      <c r="D41" s="788">
        <f>+ROUNDUP(C41,2)</f>
        <v>2.71</v>
      </c>
      <c r="F41" s="972">
        <v>1</v>
      </c>
      <c r="M41" s="627"/>
      <c r="N41" s="627"/>
    </row>
    <row r="42" spans="1:14" ht="18" customHeight="1">
      <c r="A42" s="816" t="s">
        <v>53</v>
      </c>
      <c r="B42" s="615" t="s">
        <v>53</v>
      </c>
      <c r="C42" s="719">
        <f>'Sheet 3 Disaggregated Fees'!Z37*100/1000</f>
        <v>4.35354166380493</v>
      </c>
      <c r="D42" s="788">
        <f>+ROUNDUP(C42,2)</f>
        <v>4.359999999999999</v>
      </c>
      <c r="F42" s="973"/>
      <c r="M42" s="627"/>
      <c r="N42" s="627"/>
    </row>
    <row r="43" spans="1:6" ht="18" customHeight="1" thickBot="1">
      <c r="A43" s="819" t="s">
        <v>46</v>
      </c>
      <c r="B43" s="817"/>
      <c r="C43" s="722">
        <f>'Sheet 3 Disaggregated Fees'!Z38*100/1000</f>
        <v>3.0787423250882187</v>
      </c>
      <c r="D43" s="792"/>
      <c r="F43" s="723"/>
    </row>
    <row r="44" spans="1:4" ht="18" customHeight="1">
      <c r="A44" s="617"/>
      <c r="B44" s="617"/>
      <c r="C44" s="718"/>
      <c r="D44" s="718"/>
    </row>
    <row r="45" spans="1:7" s="724" customFormat="1" ht="24" customHeight="1">
      <c r="A45" s="724" t="s">
        <v>99</v>
      </c>
      <c r="E45" s="1"/>
      <c r="G45" s="725"/>
    </row>
    <row r="46" spans="1:7" s="724" customFormat="1" ht="24" customHeight="1">
      <c r="A46" s="724" t="s">
        <v>110</v>
      </c>
      <c r="E46" s="1"/>
      <c r="G46" s="725"/>
    </row>
    <row r="47" spans="1:7" s="724" customFormat="1" ht="24" customHeight="1">
      <c r="A47" s="724" t="s">
        <v>111</v>
      </c>
      <c r="E47" s="1"/>
      <c r="G47" s="725"/>
    </row>
    <row r="48" spans="2:7" s="724" customFormat="1" ht="24" customHeight="1">
      <c r="B48" s="726" t="s">
        <v>151</v>
      </c>
      <c r="E48" s="1"/>
      <c r="G48" s="725"/>
    </row>
    <row r="49" spans="2:7" s="724" customFormat="1" ht="24" customHeight="1">
      <c r="B49" s="726" t="s">
        <v>152</v>
      </c>
      <c r="E49" s="1"/>
      <c r="G49" s="725"/>
    </row>
    <row r="50" spans="2:7" s="724" customFormat="1" ht="24" customHeight="1">
      <c r="B50" s="726" t="s">
        <v>153</v>
      </c>
      <c r="E50" s="1"/>
      <c r="G50" s="725"/>
    </row>
    <row r="51" spans="2:7" s="724" customFormat="1" ht="24" customHeight="1">
      <c r="B51" s="726" t="s">
        <v>154</v>
      </c>
      <c r="E51" s="1"/>
      <c r="G51" s="725"/>
    </row>
    <row r="52" spans="1:7" s="724" customFormat="1" ht="24" customHeight="1">
      <c r="A52" s="724" t="s">
        <v>155</v>
      </c>
      <c r="E52" s="1"/>
      <c r="G52" s="725"/>
    </row>
    <row r="53" spans="1:7" s="724" customFormat="1" ht="24" customHeight="1">
      <c r="A53" s="724" t="s">
        <v>200</v>
      </c>
      <c r="E53" s="1"/>
      <c r="G53" s="725"/>
    </row>
    <row r="54" spans="6:7" ht="18" customHeight="1">
      <c r="F54" s="724"/>
      <c r="G54" s="725"/>
    </row>
    <row r="55" spans="6:7" ht="18" customHeight="1">
      <c r="F55" s="724"/>
      <c r="G55" s="725"/>
    </row>
    <row r="56" spans="6:7" ht="18" customHeight="1">
      <c r="F56" s="724"/>
      <c r="G56" s="725"/>
    </row>
    <row r="57" spans="6:7" ht="18" customHeight="1">
      <c r="F57" s="724"/>
      <c r="G57" s="725"/>
    </row>
    <row r="58" spans="6:7" ht="18" customHeight="1">
      <c r="F58" s="724"/>
      <c r="G58" s="725"/>
    </row>
    <row r="59" spans="6:7" ht="18" customHeight="1">
      <c r="F59" s="724"/>
      <c r="G59" s="725"/>
    </row>
  </sheetData>
  <sheetProtection password="D6C3" sheet="1"/>
  <mergeCells count="17">
    <mergeCell ref="A38:A39"/>
    <mergeCell ref="B5:B6"/>
    <mergeCell ref="A5:A6"/>
    <mergeCell ref="A29:A31"/>
    <mergeCell ref="A27:A28"/>
    <mergeCell ref="A23:A25"/>
    <mergeCell ref="A21:A22"/>
    <mergeCell ref="A19:A20"/>
    <mergeCell ref="H10:H12"/>
    <mergeCell ref="I10:I12"/>
    <mergeCell ref="F41:F42"/>
    <mergeCell ref="C5:D5"/>
    <mergeCell ref="F7:F11"/>
    <mergeCell ref="F13:F17"/>
    <mergeCell ref="F33:F35"/>
    <mergeCell ref="F19:F31"/>
    <mergeCell ref="F37:F39"/>
  </mergeCells>
  <printOptions/>
  <pageMargins left="0.7480314960629921" right="0.7480314960629921" top="0.984251968503937" bottom="0.984251968503937" header="0.5118110236220472" footer="0.5118110236220472"/>
  <pageSetup fitToHeight="1" fitToWidth="1" horizontalDpi="600" verticalDpi="600" orientation="landscape" scale="54" r:id="rId1"/>
  <headerFooter alignWithMargins="0">
    <oddFooter>&amp;L&amp;12Steward Fee-Setting&amp;R&amp;12Stewardship Ontario, 
November, 2013</oddFooter>
  </headerFooter>
  <ignoredErrors>
    <ignoredError sqref="C21:D21 C23:D23 C26:D27 C29:D29" formula="1"/>
  </ignoredErrors>
</worksheet>
</file>

<file path=xl/worksheets/sheet7.xml><?xml version="1.0" encoding="utf-8"?>
<worksheet xmlns="http://schemas.openxmlformats.org/spreadsheetml/2006/main" xmlns:r="http://schemas.openxmlformats.org/officeDocument/2006/relationships">
  <sheetPr codeName="Sheet8">
    <tabColor rgb="FF00B0F0"/>
    <pageSetUpPr fitToPage="1"/>
  </sheetPr>
  <dimension ref="B2:D42"/>
  <sheetViews>
    <sheetView showGridLines="0" zoomScale="75" zoomScaleNormal="75" zoomScalePageLayoutView="0" workbookViewId="0" topLeftCell="A1">
      <pane xSplit="3" ySplit="6" topLeftCell="D7" activePane="bottomRight" state="frozen"/>
      <selection pane="topLeft" activeCell="L44" sqref="L44"/>
      <selection pane="topRight" activeCell="L44" sqref="L44"/>
      <selection pane="bottomLeft" activeCell="L44" sqref="L44"/>
      <selection pane="bottomRight" activeCell="D7" sqref="D7"/>
    </sheetView>
  </sheetViews>
  <sheetFormatPr defaultColWidth="9.140625" defaultRowHeight="18" customHeight="1"/>
  <cols>
    <col min="1" max="1" width="5.00390625" style="820" customWidth="1"/>
    <col min="2" max="2" width="37.00390625" style="820" customWidth="1"/>
    <col min="3" max="3" width="52.8515625" style="820" bestFit="1" customWidth="1"/>
    <col min="4" max="4" width="15.00390625" style="820" customWidth="1"/>
    <col min="5" max="26" width="9.140625" style="820" customWidth="1"/>
    <col min="27" max="16384" width="9.140625" style="821" customWidth="1"/>
  </cols>
  <sheetData>
    <row r="2" spans="2:4" ht="18" customHeight="1" thickBot="1">
      <c r="B2" s="828" t="s">
        <v>182</v>
      </c>
      <c r="C2" s="829"/>
      <c r="D2" s="829"/>
    </row>
    <row r="4" spans="2:4" ht="31.5">
      <c r="B4" s="983" t="s">
        <v>19</v>
      </c>
      <c r="C4" s="983" t="s">
        <v>15</v>
      </c>
      <c r="D4" s="827" t="str">
        <f>+'Sheet 4 Fee Schedule'!C5</f>
        <v>2014 Fee Rates</v>
      </c>
    </row>
    <row r="5" spans="2:4" ht="31.5">
      <c r="B5" s="983"/>
      <c r="C5" s="983"/>
      <c r="D5" s="827" t="str">
        <f>+'Sheet 4 Fee Schedule'!D6</f>
        <v>Aggregated (cents/kg)</v>
      </c>
    </row>
    <row r="6" spans="2:4" ht="15.75">
      <c r="B6" s="824"/>
      <c r="C6" s="824"/>
      <c r="D6" s="822"/>
    </row>
    <row r="7" spans="2:4" ht="18" customHeight="1">
      <c r="B7" s="982" t="str">
        <f>+'Sheet 4 Fee Schedule'!A12</f>
        <v>Printed Materials</v>
      </c>
      <c r="C7" s="825" t="str">
        <f>+'Sheet 4 Fee Schedule'!B7</f>
        <v>Newsprint–CNA/OCNA Members</v>
      </c>
      <c r="D7" s="826">
        <f>+'Sheet 4 Fee Schedule'!D7</f>
        <v>0.3</v>
      </c>
    </row>
    <row r="8" spans="2:4" ht="18" customHeight="1">
      <c r="B8" s="982"/>
      <c r="C8" s="825" t="str">
        <f>+'Sheet 4 Fee Schedule'!B8</f>
        <v>Other Newsprint–Non-CNA/OCNA Members</v>
      </c>
      <c r="D8" s="826">
        <f>+'Sheet 4 Fee Schedule'!D8</f>
        <v>4.18</v>
      </c>
    </row>
    <row r="9" spans="2:4" ht="18" customHeight="1">
      <c r="B9" s="982"/>
      <c r="C9" s="825" t="str">
        <f>+'Sheet 4 Fee Schedule'!B9</f>
        <v>Magazines and Catalogues</v>
      </c>
      <c r="D9" s="826">
        <f>+'Sheet 4 Fee Schedule'!D9</f>
        <v>6.74</v>
      </c>
    </row>
    <row r="10" spans="2:4" ht="18" customHeight="1">
      <c r="B10" s="982"/>
      <c r="C10" s="825" t="str">
        <f>+'Sheet 4 Fee Schedule'!B10</f>
        <v>Directories</v>
      </c>
      <c r="D10" s="826">
        <f>+'Sheet 4 Fee Schedule'!D10</f>
        <v>6.46</v>
      </c>
    </row>
    <row r="11" spans="2:4" ht="18" customHeight="1">
      <c r="B11" s="982"/>
      <c r="C11" s="825" t="str">
        <f>+'Sheet 4 Fee Schedule'!B11</f>
        <v>Other Printed Materials</v>
      </c>
      <c r="D11" s="826">
        <f>+'Sheet 4 Fee Schedule'!D11</f>
        <v>12.29</v>
      </c>
    </row>
    <row r="12" ht="18" customHeight="1">
      <c r="D12" s="823"/>
    </row>
    <row r="13" spans="2:4" ht="18" customHeight="1">
      <c r="B13" s="982" t="str">
        <f>+'Sheet 4 Fee Schedule'!A18</f>
        <v>Paper Packaging</v>
      </c>
      <c r="C13" s="825" t="str">
        <f>+'Sheet 4 Fee Schedule'!B13</f>
        <v>Corrugated Cardboard</v>
      </c>
      <c r="D13" s="826">
        <f>+'Sheet 4 Fee Schedule'!D13</f>
        <v>8.1</v>
      </c>
    </row>
    <row r="14" spans="2:4" ht="18" customHeight="1">
      <c r="B14" s="982"/>
      <c r="C14" s="825" t="str">
        <f>+'Sheet 4 Fee Schedule'!B14</f>
        <v>Boxboard and Other Paper Packaging</v>
      </c>
      <c r="D14" s="826">
        <f>+'Sheet 4 Fee Schedule'!D14</f>
        <v>8.1</v>
      </c>
    </row>
    <row r="15" spans="2:4" ht="18" customHeight="1">
      <c r="B15" s="982"/>
      <c r="C15" s="825" t="str">
        <f>+'Sheet 4 Fee Schedule'!B15</f>
        <v>Gable Top Containers</v>
      </c>
      <c r="D15" s="826">
        <f>+'Sheet 4 Fee Schedule'!D15</f>
        <v>18.19</v>
      </c>
    </row>
    <row r="16" spans="2:4" ht="18" customHeight="1">
      <c r="B16" s="982"/>
      <c r="C16" s="825" t="str">
        <f>+'Sheet 4 Fee Schedule'!B16</f>
        <v>Paper Laminates</v>
      </c>
      <c r="D16" s="826">
        <f>+'Sheet 4 Fee Schedule'!D16</f>
        <v>18.19</v>
      </c>
    </row>
    <row r="17" spans="2:4" ht="18" customHeight="1">
      <c r="B17" s="982"/>
      <c r="C17" s="825" t="str">
        <f>+'Sheet 4 Fee Schedule'!B17</f>
        <v>Aseptic Containers</v>
      </c>
      <c r="D17" s="826">
        <f>+'Sheet 4 Fee Schedule'!D17</f>
        <v>18.19</v>
      </c>
    </row>
    <row r="18" ht="18" customHeight="1">
      <c r="D18" s="823"/>
    </row>
    <row r="19" spans="2:4" ht="18" customHeight="1">
      <c r="B19" s="982" t="str">
        <f>+'Sheet 4 Fee Schedule'!A32</f>
        <v>Plastic Packaging</v>
      </c>
      <c r="C19" s="825" t="str">
        <f>+'Sheet 4 Fee Schedule'!B19</f>
        <v>PET Bottles</v>
      </c>
      <c r="D19" s="826">
        <f>+'Sheet 4 Fee Schedule'!D19</f>
        <v>14.02</v>
      </c>
    </row>
    <row r="20" spans="2:4" ht="18" customHeight="1">
      <c r="B20" s="982"/>
      <c r="C20" s="825" t="str">
        <f>+'Sheet 4 Fee Schedule'!B20</f>
        <v>PET Bottles &gt; 5 Litres</v>
      </c>
      <c r="D20" s="826">
        <f>+'Sheet 4 Fee Schedule'!D20</f>
        <v>14.02</v>
      </c>
    </row>
    <row r="21" spans="2:4" ht="18" customHeight="1">
      <c r="B21" s="982"/>
      <c r="C21" s="825" t="str">
        <f>+'Sheet 4 Fee Schedule'!B21</f>
        <v>HDPE Bottles and Jugs</v>
      </c>
      <c r="D21" s="826">
        <f>+'Sheet 4 Fee Schedule'!D21</f>
        <v>12.62</v>
      </c>
    </row>
    <row r="22" spans="2:4" ht="18" customHeight="1">
      <c r="B22" s="982"/>
      <c r="C22" s="825" t="str">
        <f>+'Sheet 4 Fee Schedule'!B22</f>
        <v>HDPE Bottles and Jugs &gt; 5 Litres</v>
      </c>
      <c r="D22" s="826">
        <f>+'Sheet 4 Fee Schedule'!D22</f>
        <v>12.62</v>
      </c>
    </row>
    <row r="23" spans="2:4" ht="18" customHeight="1">
      <c r="B23" s="982"/>
      <c r="C23" s="825" t="str">
        <f>+'Sheet 4 Fee Schedule'!B23</f>
        <v>LDPE/HDPE Film</v>
      </c>
      <c r="D23" s="826">
        <f>+'Sheet 4 Fee Schedule'!D23</f>
        <v>22.540000000000003</v>
      </c>
    </row>
    <row r="24" spans="2:4" ht="18" customHeight="1">
      <c r="B24" s="982"/>
      <c r="C24" s="825" t="str">
        <f>+'Sheet 4 Fee Schedule'!B24</f>
        <v>LDPE/HDPE Film Carry-Out Bags</v>
      </c>
      <c r="D24" s="826">
        <f>+'Sheet 4 Fee Schedule'!D24</f>
        <v>22.540000000000003</v>
      </c>
    </row>
    <row r="25" spans="2:4" ht="18" customHeight="1">
      <c r="B25" s="982"/>
      <c r="C25" s="825" t="str">
        <f>+'Sheet 4 Fee Schedule'!B25</f>
        <v>Natural and Synthetic Textiles</v>
      </c>
      <c r="D25" s="826">
        <f>+'Sheet 4 Fee Schedule'!D25</f>
        <v>22.540000000000003</v>
      </c>
    </row>
    <row r="26" spans="2:4" ht="18" customHeight="1">
      <c r="B26" s="982"/>
      <c r="C26" s="825" t="str">
        <f>+'Sheet 4 Fee Schedule'!B26</f>
        <v>Plastic Laminates</v>
      </c>
      <c r="D26" s="826">
        <f>+'Sheet 4 Fee Schedule'!D26</f>
        <v>22.540000000000003</v>
      </c>
    </row>
    <row r="27" spans="2:4" ht="18" customHeight="1">
      <c r="B27" s="982"/>
      <c r="C27" s="825" t="str">
        <f>+'Sheet 4 Fee Schedule'!B27</f>
        <v>Expanded Polystyrene</v>
      </c>
      <c r="D27" s="826">
        <f>+'Sheet 4 Fee Schedule'!D27</f>
        <v>22.540000000000003</v>
      </c>
    </row>
    <row r="28" spans="2:4" ht="18" customHeight="1">
      <c r="B28" s="982"/>
      <c r="C28" s="825" t="str">
        <f>+'Sheet 4 Fee Schedule'!B28</f>
        <v>Non-Expanded Polystyrene</v>
      </c>
      <c r="D28" s="826">
        <f>+'Sheet 4 Fee Schedule'!D28</f>
        <v>22.540000000000003</v>
      </c>
    </row>
    <row r="29" spans="2:4" ht="18" customHeight="1">
      <c r="B29" s="982"/>
      <c r="C29" s="825" t="str">
        <f>+'Sheet 4 Fee Schedule'!B29</f>
        <v>Other Plastic Packaging</v>
      </c>
      <c r="D29" s="826">
        <f>+'Sheet 4 Fee Schedule'!D29</f>
        <v>22.540000000000003</v>
      </c>
    </row>
    <row r="30" spans="2:4" ht="18" customHeight="1">
      <c r="B30" s="982"/>
      <c r="C30" s="825" t="str">
        <f>+'Sheet 4 Fee Schedule'!B30</f>
        <v>Other Plastic Packaging &gt; 5 Litres</v>
      </c>
      <c r="D30" s="826">
        <f>+'Sheet 4 Fee Schedule'!D30</f>
        <v>22.540000000000003</v>
      </c>
    </row>
    <row r="31" spans="2:4" ht="18" customHeight="1">
      <c r="B31" s="982"/>
      <c r="C31" s="825" t="str">
        <f>+'Sheet 4 Fee Schedule'!B31</f>
        <v>Disrupter Plastics</v>
      </c>
      <c r="D31" s="826">
        <f>+'Sheet 4 Fee Schedule'!D31</f>
        <v>22.540000000000003</v>
      </c>
    </row>
    <row r="32" ht="18" customHeight="1">
      <c r="D32" s="823"/>
    </row>
    <row r="33" spans="2:4" ht="18" customHeight="1">
      <c r="B33" s="982" t="str">
        <f>+'Sheet 4 Fee Schedule'!A36</f>
        <v>Steel and Other Metal Packaging</v>
      </c>
      <c r="C33" s="825" t="str">
        <f>+'Sheet 4 Fee Schedule'!B33</f>
        <v>Other Steel and Metal Containers and Packaging</v>
      </c>
      <c r="D33" s="826">
        <f>+'Sheet 4 Fee Schedule'!D33</f>
        <v>5.06</v>
      </c>
    </row>
    <row r="34" spans="2:4" ht="18" customHeight="1">
      <c r="B34" s="982"/>
      <c r="C34" s="825" t="str">
        <f>+'Sheet 4 Fee Schedule'!B34</f>
        <v>Steel Aerosol Containers</v>
      </c>
      <c r="D34" s="826">
        <f>+'Sheet 4 Fee Schedule'!D34</f>
        <v>5.06</v>
      </c>
    </row>
    <row r="35" spans="2:4" ht="18" customHeight="1">
      <c r="B35" s="982"/>
      <c r="C35" s="825" t="str">
        <f>+'Sheet 4 Fee Schedule'!B35</f>
        <v>Steel Paint Cans</v>
      </c>
      <c r="D35" s="826">
        <f>+'Sheet 4 Fee Schedule'!D35</f>
        <v>5.06</v>
      </c>
    </row>
    <row r="36" ht="18" customHeight="1">
      <c r="D36" s="823"/>
    </row>
    <row r="37" spans="2:4" ht="18" customHeight="1">
      <c r="B37" s="982" t="str">
        <f>+'Sheet 4 Fee Schedule'!A40</f>
        <v>Aluminum Packaging</v>
      </c>
      <c r="C37" s="825" t="str">
        <f>+'Sheet 4 Fee Schedule'!B37</f>
        <v>Aluminum Food and Beverage Containers</v>
      </c>
      <c r="D37" s="826">
        <f>+'Sheet 4 Fee Schedule'!D37</f>
        <v>1.77</v>
      </c>
    </row>
    <row r="38" spans="2:4" ht="18" customHeight="1">
      <c r="B38" s="982"/>
      <c r="C38" s="825" t="str">
        <f>+'Sheet 4 Fee Schedule'!B38</f>
        <v>Aluminum Aerosol Containers</v>
      </c>
      <c r="D38" s="826">
        <f>+'Sheet 4 Fee Schedule'!D38</f>
        <v>6.569999999999999</v>
      </c>
    </row>
    <row r="39" spans="2:4" ht="18" customHeight="1">
      <c r="B39" s="982"/>
      <c r="C39" s="825" t="str">
        <f>+'Sheet 4 Fee Schedule'!B39</f>
        <v>Other Aluminum Packaging</v>
      </c>
      <c r="D39" s="826">
        <f>+'Sheet 4 Fee Schedule'!D39</f>
        <v>6.569999999999999</v>
      </c>
    </row>
    <row r="40" ht="18" customHeight="1">
      <c r="D40" s="823"/>
    </row>
    <row r="41" spans="2:4" ht="18" customHeight="1">
      <c r="B41" s="982" t="str">
        <f>+'Sheet 4 Fee Schedule'!A43</f>
        <v>Glass Packaging</v>
      </c>
      <c r="C41" s="825" t="str">
        <f>+'Sheet 4 Fee Schedule'!B41</f>
        <v>Clear Glass</v>
      </c>
      <c r="D41" s="826">
        <f>+'Sheet 4 Fee Schedule'!D41</f>
        <v>2.71</v>
      </c>
    </row>
    <row r="42" spans="2:4" ht="18" customHeight="1">
      <c r="B42" s="982"/>
      <c r="C42" s="825" t="str">
        <f>+'Sheet 4 Fee Schedule'!B42</f>
        <v>Coloured Glass</v>
      </c>
      <c r="D42" s="826">
        <f>+'Sheet 4 Fee Schedule'!D42</f>
        <v>4.359999999999999</v>
      </c>
    </row>
  </sheetData>
  <sheetProtection password="D6C3" sheet="1"/>
  <mergeCells count="8">
    <mergeCell ref="B41:B42"/>
    <mergeCell ref="B37:B39"/>
    <mergeCell ref="B33:B35"/>
    <mergeCell ref="C4:C5"/>
    <mergeCell ref="B4:B5"/>
    <mergeCell ref="B19:B31"/>
    <mergeCell ref="B13:B17"/>
    <mergeCell ref="B7:B11"/>
  </mergeCells>
  <printOptions/>
  <pageMargins left="0.7480314960629921" right="0.7480314960629921" top="0.984251968503937" bottom="0.984251968503937" header="0.5118110236220472" footer="0.5118110236220472"/>
  <pageSetup fitToHeight="1" fitToWidth="1" horizontalDpi="600" verticalDpi="600" orientation="portrait" scale="82" r:id="rId1"/>
  <headerFooter alignWithMargins="0">
    <oddFooter>&amp;L&amp;12Steward Fee-Setting&amp;R&amp;12Stewardship Ontario, 
November, 2013</oddFooter>
  </headerFooter>
</worksheet>
</file>

<file path=xl/worksheets/sheet8.xml><?xml version="1.0" encoding="utf-8"?>
<worksheet xmlns="http://schemas.openxmlformats.org/spreadsheetml/2006/main" xmlns:r="http://schemas.openxmlformats.org/officeDocument/2006/relationships">
  <sheetPr codeName="Sheet9">
    <pageSetUpPr fitToPage="1"/>
  </sheetPr>
  <dimension ref="A1:N120"/>
  <sheetViews>
    <sheetView showGridLines="0" zoomScale="70" zoomScaleNormal="70" zoomScalePageLayoutView="0" workbookViewId="0" topLeftCell="A1">
      <pane xSplit="8" ySplit="8" topLeftCell="I9" activePane="bottomRight" state="frozen"/>
      <selection pane="topLeft" activeCell="L44" sqref="L44"/>
      <selection pane="topRight" activeCell="L44" sqref="L44"/>
      <selection pane="bottomLeft" activeCell="L44" sqref="L44"/>
      <selection pane="bottomRight" activeCell="I9" sqref="I9"/>
    </sheetView>
  </sheetViews>
  <sheetFormatPr defaultColWidth="9.140625" defaultRowHeight="18" customHeight="1" outlineLevelCol="1"/>
  <cols>
    <col min="1" max="1" width="37.00390625" style="351" customWidth="1"/>
    <col min="2" max="8" width="21.421875" style="351" hidden="1" customWidth="1" outlineLevel="1"/>
    <col min="9" max="9" width="21.421875" style="351" customWidth="1" collapsed="1"/>
    <col min="10" max="13" width="21.421875" style="351" customWidth="1"/>
    <col min="15" max="16384" width="9.140625" style="351" customWidth="1"/>
  </cols>
  <sheetData>
    <row r="1" spans="1:3" s="714" customFormat="1" ht="31.5" customHeight="1">
      <c r="A1" s="752" t="s">
        <v>179</v>
      </c>
      <c r="B1" s="740"/>
      <c r="C1" s="740"/>
    </row>
    <row r="2" spans="1:3" s="714" customFormat="1" ht="21" customHeight="1">
      <c r="A2" s="740"/>
      <c r="B2" s="740"/>
      <c r="C2" s="740"/>
    </row>
    <row r="3" spans="1:3" s="714" customFormat="1" ht="21" customHeight="1">
      <c r="A3" s="809" t="s">
        <v>99</v>
      </c>
      <c r="B3" s="725"/>
      <c r="C3" s="725"/>
    </row>
    <row r="4" spans="1:13" s="714" customFormat="1" ht="21" customHeight="1">
      <c r="A4" s="725" t="s">
        <v>140</v>
      </c>
      <c r="B4" s="725"/>
      <c r="C4" s="725"/>
      <c r="D4" s="741"/>
      <c r="E4" s="741"/>
      <c r="F4" s="741"/>
      <c r="G4" s="741"/>
      <c r="H4" s="741"/>
      <c r="I4" s="741"/>
      <c r="J4" s="741"/>
      <c r="K4" s="741"/>
      <c r="L4" s="741"/>
      <c r="M4" s="741"/>
    </row>
    <row r="5" spans="1:13" s="714" customFormat="1" ht="21" customHeight="1">
      <c r="A5" s="725" t="s">
        <v>141</v>
      </c>
      <c r="B5" s="725"/>
      <c r="C5" s="725"/>
      <c r="D5" s="741"/>
      <c r="E5" s="741"/>
      <c r="F5" s="741"/>
      <c r="G5" s="741"/>
      <c r="H5" s="741"/>
      <c r="I5" s="741"/>
      <c r="J5" s="741"/>
      <c r="K5" s="741"/>
      <c r="L5" s="741"/>
      <c r="M5" s="741"/>
    </row>
    <row r="6" ht="18" customHeight="1" thickBot="1"/>
    <row r="7" spans="1:13" s="742" customFormat="1" ht="45.75" customHeight="1">
      <c r="A7" s="716" t="s">
        <v>98</v>
      </c>
      <c r="B7" s="749" t="s">
        <v>142</v>
      </c>
      <c r="C7" s="716" t="s">
        <v>143</v>
      </c>
      <c r="D7" s="716" t="s">
        <v>144</v>
      </c>
      <c r="E7" s="716" t="s">
        <v>145</v>
      </c>
      <c r="F7" s="716" t="s">
        <v>146</v>
      </c>
      <c r="G7" s="716" t="s">
        <v>147</v>
      </c>
      <c r="H7" s="716" t="s">
        <v>124</v>
      </c>
      <c r="I7" s="716" t="s">
        <v>127</v>
      </c>
      <c r="J7" s="716" t="s">
        <v>128</v>
      </c>
      <c r="K7" s="716" t="s">
        <v>131</v>
      </c>
      <c r="L7" s="716" t="s">
        <v>139</v>
      </c>
      <c r="M7" s="716" t="s">
        <v>181</v>
      </c>
    </row>
    <row r="8" spans="1:13" s="742" customFormat="1" ht="15.75" thickBot="1">
      <c r="A8" s="759"/>
      <c r="B8" s="760" t="s">
        <v>17</v>
      </c>
      <c r="C8" s="761" t="s">
        <v>17</v>
      </c>
      <c r="D8" s="761" t="s">
        <v>17</v>
      </c>
      <c r="E8" s="761" t="s">
        <v>17</v>
      </c>
      <c r="F8" s="761" t="s">
        <v>17</v>
      </c>
      <c r="G8" s="761" t="s">
        <v>17</v>
      </c>
      <c r="H8" s="761" t="s">
        <v>17</v>
      </c>
      <c r="I8" s="761" t="s">
        <v>17</v>
      </c>
      <c r="J8" s="761" t="s">
        <v>17</v>
      </c>
      <c r="K8" s="761" t="s">
        <v>17</v>
      </c>
      <c r="L8" s="761" t="s">
        <v>17</v>
      </c>
      <c r="M8" s="761" t="s">
        <v>17</v>
      </c>
    </row>
    <row r="9" spans="1:14" ht="15">
      <c r="A9" s="810" t="str">
        <f>+'Sheet 4 Fee Schedule'!A7</f>
        <v>Newsprint - CNA/OCNA</v>
      </c>
      <c r="B9" s="743">
        <v>0.28</v>
      </c>
      <c r="C9" s="743">
        <v>0.26</v>
      </c>
      <c r="D9" s="743">
        <v>0.76</v>
      </c>
      <c r="E9" s="743">
        <v>1.82</v>
      </c>
      <c r="F9" s="743">
        <v>1.979799338111835</v>
      </c>
      <c r="G9" s="743">
        <v>1.478071136328613</v>
      </c>
      <c r="H9" s="743">
        <v>1.5418634318364675</v>
      </c>
      <c r="I9" s="743">
        <v>1.7</v>
      </c>
      <c r="J9" s="743">
        <v>2.9000000000000004</v>
      </c>
      <c r="K9" s="743">
        <v>3.3</v>
      </c>
      <c r="L9" s="743">
        <v>4.2</v>
      </c>
      <c r="M9" s="743">
        <f>+'Sheet 4 Fee Schedule'!D7*1000/100</f>
        <v>3</v>
      </c>
      <c r="N9" s="351"/>
    </row>
    <row r="10" spans="1:14" ht="15">
      <c r="A10" s="810" t="str">
        <f>+'Sheet 4 Fee Schedule'!A8</f>
        <v>Newsprint - Non-CNA/OCNA</v>
      </c>
      <c r="B10" s="743">
        <v>0.28</v>
      </c>
      <c r="C10" s="743">
        <v>0.26</v>
      </c>
      <c r="D10" s="743">
        <v>7.86</v>
      </c>
      <c r="E10" s="743">
        <v>7.33189299419214</v>
      </c>
      <c r="F10" s="743">
        <v>6.742588963340355</v>
      </c>
      <c r="G10" s="743">
        <v>7.638253904580368</v>
      </c>
      <c r="H10" s="743">
        <v>13.460826036568722</v>
      </c>
      <c r="I10" s="743">
        <v>7.1</v>
      </c>
      <c r="J10" s="743">
        <v>11.2</v>
      </c>
      <c r="K10" s="743">
        <v>20.199999999999996</v>
      </c>
      <c r="L10" s="743">
        <v>36.199999999999996</v>
      </c>
      <c r="M10" s="743">
        <f>+'Sheet 4 Fee Schedule'!D8*1000/100</f>
        <v>41.8</v>
      </c>
      <c r="N10" s="351"/>
    </row>
    <row r="11" spans="1:14" ht="15">
      <c r="A11" s="810" t="str">
        <f>+'Sheet 4 Fee Schedule'!A9</f>
        <v>Magazines and Catalogues</v>
      </c>
      <c r="B11" s="743">
        <v>0.81</v>
      </c>
      <c r="C11" s="743">
        <v>3.1</v>
      </c>
      <c r="D11" s="743">
        <v>8.62</v>
      </c>
      <c r="E11" s="743">
        <v>14.80554348602006</v>
      </c>
      <c r="F11" s="743">
        <v>18.401472742575557</v>
      </c>
      <c r="G11" s="743">
        <v>21.824292805857553</v>
      </c>
      <c r="H11" s="743">
        <v>33.73381813204801</v>
      </c>
      <c r="I11" s="743">
        <v>19.7</v>
      </c>
      <c r="J11" s="743">
        <v>24.8</v>
      </c>
      <c r="K11" s="743">
        <v>54.5</v>
      </c>
      <c r="L11" s="743">
        <v>64.7</v>
      </c>
      <c r="M11" s="743">
        <f>+'Sheet 4 Fee Schedule'!D9*1000/100</f>
        <v>67.4</v>
      </c>
      <c r="N11" s="351"/>
    </row>
    <row r="12" spans="1:14" ht="15">
      <c r="A12" s="810" t="str">
        <f>+'Sheet 4 Fee Schedule'!A10</f>
        <v>Telephone Books</v>
      </c>
      <c r="B12" s="743">
        <v>0.81</v>
      </c>
      <c r="C12" s="743">
        <v>6.87</v>
      </c>
      <c r="D12" s="743">
        <v>13.02</v>
      </c>
      <c r="E12" s="743">
        <v>11.895464629483744</v>
      </c>
      <c r="F12" s="743">
        <v>18.401472742575557</v>
      </c>
      <c r="G12" s="743">
        <v>21.824292805857553</v>
      </c>
      <c r="H12" s="743">
        <v>33.73381813204801</v>
      </c>
      <c r="I12" s="743">
        <v>19.7</v>
      </c>
      <c r="J12" s="743">
        <v>24.8</v>
      </c>
      <c r="K12" s="743">
        <v>54.5</v>
      </c>
      <c r="L12" s="743">
        <v>66.4</v>
      </c>
      <c r="M12" s="743">
        <f>+'Sheet 4 Fee Schedule'!D10*1000/100</f>
        <v>64.6</v>
      </c>
      <c r="N12" s="351"/>
    </row>
    <row r="13" spans="1:14" ht="15">
      <c r="A13" s="810" t="str">
        <f>+'Sheet 4 Fee Schedule'!A11</f>
        <v>Other Printed Paper</v>
      </c>
      <c r="B13" s="743">
        <v>2.51</v>
      </c>
      <c r="C13" s="743">
        <v>13.18</v>
      </c>
      <c r="D13" s="743">
        <v>90.29</v>
      </c>
      <c r="E13" s="743">
        <v>79.59753115094605</v>
      </c>
      <c r="F13" s="743">
        <v>18.401472742575557</v>
      </c>
      <c r="G13" s="743">
        <v>21.824292805857553</v>
      </c>
      <c r="H13" s="743">
        <v>33.73381813204801</v>
      </c>
      <c r="I13" s="743">
        <v>19.7</v>
      </c>
      <c r="J13" s="743">
        <v>24.8</v>
      </c>
      <c r="K13" s="743">
        <v>54.5</v>
      </c>
      <c r="L13" s="743">
        <v>99.9</v>
      </c>
      <c r="M13" s="743">
        <f>+'Sheet 4 Fee Schedule'!D11*1000/100</f>
        <v>122.9</v>
      </c>
      <c r="N13" s="351"/>
    </row>
    <row r="14" spans="1:14" ht="15">
      <c r="A14" s="811"/>
      <c r="B14" s="744"/>
      <c r="C14" s="744"/>
      <c r="D14" s="744"/>
      <c r="E14" s="744"/>
      <c r="F14" s="744"/>
      <c r="G14" s="744"/>
      <c r="H14" s="744"/>
      <c r="I14" s="744"/>
      <c r="J14" s="744"/>
      <c r="K14" s="744"/>
      <c r="L14" s="744"/>
      <c r="M14" s="744"/>
      <c r="N14" s="351"/>
    </row>
    <row r="15" spans="1:14" ht="15">
      <c r="A15" s="810" t="str">
        <f>+'Sheet 4 Fee Schedule'!A13</f>
        <v>Corrugated Cardboard</v>
      </c>
      <c r="B15" s="743">
        <v>47.28</v>
      </c>
      <c r="C15" s="743">
        <v>59.87</v>
      </c>
      <c r="D15" s="743">
        <v>79.04</v>
      </c>
      <c r="E15" s="743">
        <v>76.72544671319383</v>
      </c>
      <c r="F15" s="743">
        <v>71.65715999360948</v>
      </c>
      <c r="G15" s="743">
        <v>72.51641775723046</v>
      </c>
      <c r="H15" s="743">
        <v>80.20087024775773</v>
      </c>
      <c r="I15" s="743">
        <v>78.1</v>
      </c>
      <c r="J15" s="743">
        <v>77</v>
      </c>
      <c r="K15" s="743">
        <v>114.48524813645756</v>
      </c>
      <c r="L15" s="743">
        <v>83.9</v>
      </c>
      <c r="M15" s="743">
        <f>+'Sheet 4 Fee Schedule'!D13*1000/100</f>
        <v>81</v>
      </c>
      <c r="N15" s="351"/>
    </row>
    <row r="16" spans="1:14" ht="15">
      <c r="A16" s="810" t="str">
        <f>+'Sheet 4 Fee Schedule'!A14</f>
        <v>Boxboard</v>
      </c>
      <c r="B16" s="743">
        <v>47.28</v>
      </c>
      <c r="C16" s="743">
        <v>59.87</v>
      </c>
      <c r="D16" s="743">
        <v>79.04</v>
      </c>
      <c r="E16" s="743">
        <v>76.72544671319383</v>
      </c>
      <c r="F16" s="743">
        <v>71.65715999360948</v>
      </c>
      <c r="G16" s="743">
        <v>72.51641775723046</v>
      </c>
      <c r="H16" s="743">
        <v>80.20087024775773</v>
      </c>
      <c r="I16" s="743">
        <v>78.1</v>
      </c>
      <c r="J16" s="743">
        <v>77</v>
      </c>
      <c r="K16" s="743">
        <v>93.369105045682</v>
      </c>
      <c r="L16" s="743">
        <v>83.9</v>
      </c>
      <c r="M16" s="743">
        <f>+'Sheet 4 Fee Schedule'!D14*1000/100</f>
        <v>81</v>
      </c>
      <c r="N16" s="351"/>
    </row>
    <row r="17" spans="1:14" ht="15">
      <c r="A17" s="810" t="str">
        <f>+'Sheet 4 Fee Schedule'!A15</f>
        <v>Gable Top Cartons</v>
      </c>
      <c r="B17" s="743">
        <v>47.28</v>
      </c>
      <c r="C17" s="743">
        <v>59.87</v>
      </c>
      <c r="D17" s="743">
        <v>79.04</v>
      </c>
      <c r="E17" s="743">
        <v>76.72544671319383</v>
      </c>
      <c r="F17" s="743">
        <v>100.55331036250215</v>
      </c>
      <c r="G17" s="743">
        <v>125.34432015022884</v>
      </c>
      <c r="H17" s="743">
        <v>135.08362386516842</v>
      </c>
      <c r="I17" s="743">
        <v>196.5</v>
      </c>
      <c r="J17" s="743">
        <v>237.5</v>
      </c>
      <c r="K17" s="743">
        <v>187.6</v>
      </c>
      <c r="L17" s="743">
        <v>182.20000000000005</v>
      </c>
      <c r="M17" s="743">
        <f>+'Sheet 4 Fee Schedule'!D15*1000/100</f>
        <v>181.9</v>
      </c>
      <c r="N17" s="351"/>
    </row>
    <row r="18" spans="1:14" ht="15">
      <c r="A18" s="810" t="str">
        <f>+'Sheet 4 Fee Schedule'!A16</f>
        <v>Paper Laminates</v>
      </c>
      <c r="B18" s="743">
        <v>47.28</v>
      </c>
      <c r="C18" s="743">
        <v>59.87</v>
      </c>
      <c r="D18" s="743">
        <v>79.04</v>
      </c>
      <c r="E18" s="743">
        <v>76.72544671319383</v>
      </c>
      <c r="F18" s="743">
        <v>100.55331036250215</v>
      </c>
      <c r="G18" s="743">
        <v>125.34432015022884</v>
      </c>
      <c r="H18" s="743">
        <v>135.08362386516842</v>
      </c>
      <c r="I18" s="743">
        <v>196.5</v>
      </c>
      <c r="J18" s="743">
        <v>237.5</v>
      </c>
      <c r="K18" s="743">
        <v>187.6</v>
      </c>
      <c r="L18" s="743">
        <v>182.20000000000005</v>
      </c>
      <c r="M18" s="743">
        <f>+'Sheet 4 Fee Schedule'!D16*1000/100</f>
        <v>181.9</v>
      </c>
      <c r="N18" s="351"/>
    </row>
    <row r="19" spans="1:14" ht="15">
      <c r="A19" s="810" t="str">
        <f>+'Sheet 4 Fee Schedule'!A17</f>
        <v>Aseptic Containers</v>
      </c>
      <c r="B19" s="743">
        <v>47.28</v>
      </c>
      <c r="C19" s="743">
        <v>59.87</v>
      </c>
      <c r="D19" s="743">
        <v>79.04</v>
      </c>
      <c r="E19" s="743">
        <v>76.72544671319383</v>
      </c>
      <c r="F19" s="743">
        <v>100.55331036250215</v>
      </c>
      <c r="G19" s="743">
        <v>125.34432015022884</v>
      </c>
      <c r="H19" s="743">
        <v>135.08362386516842</v>
      </c>
      <c r="I19" s="743">
        <v>196.5</v>
      </c>
      <c r="J19" s="743">
        <v>237.5</v>
      </c>
      <c r="K19" s="743">
        <v>187.6</v>
      </c>
      <c r="L19" s="743">
        <v>182.20000000000005</v>
      </c>
      <c r="M19" s="743">
        <f>+'Sheet 4 Fee Schedule'!D17*1000/100</f>
        <v>181.9</v>
      </c>
      <c r="N19" s="351"/>
    </row>
    <row r="20" spans="1:14" ht="15">
      <c r="A20" s="811"/>
      <c r="B20" s="744"/>
      <c r="C20" s="744"/>
      <c r="D20" s="744"/>
      <c r="E20" s="744"/>
      <c r="F20" s="744"/>
      <c r="G20" s="744"/>
      <c r="H20" s="744"/>
      <c r="I20" s="744"/>
      <c r="J20" s="744"/>
      <c r="K20" s="744"/>
      <c r="L20" s="744"/>
      <c r="M20" s="744"/>
      <c r="N20" s="351"/>
    </row>
    <row r="21" spans="1:14" ht="15">
      <c r="A21" s="810" t="str">
        <f>+'Sheet 4 Fee Schedule'!A19</f>
        <v>PET Bottles</v>
      </c>
      <c r="B21" s="743">
        <v>66.92</v>
      </c>
      <c r="C21" s="743">
        <v>96.1</v>
      </c>
      <c r="D21" s="743">
        <v>139.07</v>
      </c>
      <c r="E21" s="743">
        <v>135.55549560358926</v>
      </c>
      <c r="F21" s="743">
        <v>116.44484070604007</v>
      </c>
      <c r="G21" s="743">
        <v>112.37744395249348</v>
      </c>
      <c r="H21" s="743">
        <v>124.84027705283846</v>
      </c>
      <c r="I21" s="743">
        <v>129.8</v>
      </c>
      <c r="J21" s="743">
        <v>137.8</v>
      </c>
      <c r="K21" s="743">
        <v>162.4</v>
      </c>
      <c r="L21" s="743">
        <v>147</v>
      </c>
      <c r="M21" s="743">
        <f>+'Sheet 4 Fee Schedule'!D19*1000/100</f>
        <v>140.2</v>
      </c>
      <c r="N21" s="351"/>
    </row>
    <row r="22" spans="1:14" ht="15">
      <c r="A22" s="810" t="str">
        <f>+'Sheet 4 Fee Schedule'!A21</f>
        <v>HDPE Bottles</v>
      </c>
      <c r="B22" s="743">
        <v>66.92</v>
      </c>
      <c r="C22" s="743">
        <v>96.1</v>
      </c>
      <c r="D22" s="743">
        <v>139.07</v>
      </c>
      <c r="E22" s="743">
        <v>135.55549560358926</v>
      </c>
      <c r="F22" s="743">
        <v>99.28814165840889</v>
      </c>
      <c r="G22" s="743">
        <v>111.34854100248793</v>
      </c>
      <c r="H22" s="743">
        <v>113.71795639706075</v>
      </c>
      <c r="I22" s="743">
        <v>124.9</v>
      </c>
      <c r="J22" s="743">
        <v>132.7</v>
      </c>
      <c r="K22" s="743">
        <v>136</v>
      </c>
      <c r="L22" s="743">
        <v>135.2</v>
      </c>
      <c r="M22" s="743">
        <f>+'Sheet 4 Fee Schedule'!D21*1000/100</f>
        <v>126.2</v>
      </c>
      <c r="N22" s="351"/>
    </row>
    <row r="23" spans="1:14" ht="15">
      <c r="A23" s="810" t="str">
        <f>+'Sheet 4 Fee Schedule'!A23</f>
        <v>Plastic Film</v>
      </c>
      <c r="B23" s="743">
        <v>66.92</v>
      </c>
      <c r="C23" s="743">
        <v>96.1</v>
      </c>
      <c r="D23" s="743">
        <v>139.07</v>
      </c>
      <c r="E23" s="743">
        <v>135.55549560358926</v>
      </c>
      <c r="F23" s="743">
        <v>147.20437670271855</v>
      </c>
      <c r="G23" s="743">
        <v>184.48623410160064</v>
      </c>
      <c r="H23" s="743">
        <v>190.26836732120478</v>
      </c>
      <c r="I23" s="743">
        <v>246.5</v>
      </c>
      <c r="J23" s="743">
        <v>281.6</v>
      </c>
      <c r="K23" s="743">
        <v>272.3</v>
      </c>
      <c r="L23" s="743">
        <v>232.70000000000005</v>
      </c>
      <c r="M23" s="743">
        <f>+'Sheet 4 Fee Schedule'!D23*1000/100</f>
        <v>225.40000000000003</v>
      </c>
      <c r="N23" s="351"/>
    </row>
    <row r="24" spans="1:14" ht="15">
      <c r="A24" s="810" t="str">
        <f>+'Sheet 4 Fee Schedule'!A26</f>
        <v>Plastic Laminates</v>
      </c>
      <c r="B24" s="743">
        <v>66.92</v>
      </c>
      <c r="C24" s="743">
        <v>96.1</v>
      </c>
      <c r="D24" s="743">
        <v>139.07</v>
      </c>
      <c r="E24" s="743">
        <v>135.55549560358926</v>
      </c>
      <c r="F24" s="743">
        <v>147.20437670271855</v>
      </c>
      <c r="G24" s="743">
        <v>184.48623410160064</v>
      </c>
      <c r="H24" s="743">
        <v>190.26836732120478</v>
      </c>
      <c r="I24" s="743">
        <v>246.5</v>
      </c>
      <c r="J24" s="743">
        <v>281.6</v>
      </c>
      <c r="K24" s="743">
        <v>272.3</v>
      </c>
      <c r="L24" s="743">
        <v>232.70000000000005</v>
      </c>
      <c r="M24" s="743">
        <f>+'Sheet 4 Fee Schedule'!D26*1000/100</f>
        <v>225.40000000000003</v>
      </c>
      <c r="N24" s="351"/>
    </row>
    <row r="25" spans="1:14" ht="15">
      <c r="A25" s="810" t="str">
        <f>+'Sheet 4 Fee Schedule'!A27</f>
        <v>Polystyrene</v>
      </c>
      <c r="B25" s="743">
        <v>66.92</v>
      </c>
      <c r="C25" s="743">
        <v>96.1</v>
      </c>
      <c r="D25" s="743">
        <v>139.07</v>
      </c>
      <c r="E25" s="743">
        <v>135.55549560358926</v>
      </c>
      <c r="F25" s="743">
        <v>147.20437670271855</v>
      </c>
      <c r="G25" s="743">
        <v>184.48623410160064</v>
      </c>
      <c r="H25" s="743">
        <v>190.26836732120478</v>
      </c>
      <c r="I25" s="743">
        <v>246.5</v>
      </c>
      <c r="J25" s="743">
        <v>281.6</v>
      </c>
      <c r="K25" s="743">
        <v>272.3</v>
      </c>
      <c r="L25" s="743">
        <v>232.70000000000005</v>
      </c>
      <c r="M25" s="743">
        <f>+'Sheet 4 Fee Schedule'!D27*1000/100</f>
        <v>225.40000000000003</v>
      </c>
      <c r="N25" s="351"/>
    </row>
    <row r="26" spans="1:14" ht="15">
      <c r="A26" s="810" t="str">
        <f>+'Sheet 4 Fee Schedule'!A29</f>
        <v>Other Plastics</v>
      </c>
      <c r="B26" s="743">
        <v>66.92</v>
      </c>
      <c r="C26" s="743">
        <v>96.1</v>
      </c>
      <c r="D26" s="743">
        <v>139.07</v>
      </c>
      <c r="E26" s="743">
        <v>135.55549560358926</v>
      </c>
      <c r="F26" s="743">
        <v>147.20437670271855</v>
      </c>
      <c r="G26" s="743">
        <v>184.48623410160064</v>
      </c>
      <c r="H26" s="743">
        <v>190.26836732120478</v>
      </c>
      <c r="I26" s="743">
        <v>246.5</v>
      </c>
      <c r="J26" s="743">
        <v>281.6</v>
      </c>
      <c r="K26" s="743">
        <v>293.217403265496</v>
      </c>
      <c r="L26" s="743">
        <v>232.70000000000005</v>
      </c>
      <c r="M26" s="743">
        <f>+'Sheet 4 Fee Schedule'!D29*1000/100</f>
        <v>225.40000000000003</v>
      </c>
      <c r="N26" s="351"/>
    </row>
    <row r="27" spans="1:14" ht="15">
      <c r="A27" s="811"/>
      <c r="B27" s="744"/>
      <c r="C27" s="744"/>
      <c r="D27" s="744"/>
      <c r="E27" s="744"/>
      <c r="F27" s="744"/>
      <c r="G27" s="744"/>
      <c r="H27" s="744"/>
      <c r="I27" s="744"/>
      <c r="J27" s="744"/>
      <c r="K27" s="744"/>
      <c r="L27" s="744"/>
      <c r="M27" s="744"/>
      <c r="N27" s="351"/>
    </row>
    <row r="28" spans="1:14" ht="15">
      <c r="A28" s="810" t="str">
        <f>+'Sheet 4 Fee Schedule'!A33</f>
        <v>Steel Food &amp; Beverage Cans</v>
      </c>
      <c r="B28" s="743">
        <v>36.33</v>
      </c>
      <c r="C28" s="743">
        <v>43.91</v>
      </c>
      <c r="D28" s="743">
        <v>47.45</v>
      </c>
      <c r="E28" s="743">
        <v>46.012677353665175</v>
      </c>
      <c r="F28" s="743">
        <v>43.979181803223526</v>
      </c>
      <c r="G28" s="743">
        <v>47.4363670769528</v>
      </c>
      <c r="H28" s="743">
        <v>49.98391473422041</v>
      </c>
      <c r="I28" s="743">
        <v>55.4</v>
      </c>
      <c r="J28" s="743">
        <v>62.6</v>
      </c>
      <c r="K28" s="743">
        <v>60.69999999999999</v>
      </c>
      <c r="L28" s="743">
        <v>55.1</v>
      </c>
      <c r="M28" s="743">
        <f>+'Sheet 4 Fee Schedule'!D33*1000/100</f>
        <v>50.6</v>
      </c>
      <c r="N28" s="351"/>
    </row>
    <row r="29" spans="1:14" ht="15">
      <c r="A29" s="810" t="str">
        <f>+'Sheet 4 Fee Schedule'!A34</f>
        <v>Steel Aerosols</v>
      </c>
      <c r="B29" s="743">
        <v>36.33</v>
      </c>
      <c r="C29" s="743">
        <v>43.91</v>
      </c>
      <c r="D29" s="743">
        <v>47.45</v>
      </c>
      <c r="E29" s="743">
        <v>46.012677353665175</v>
      </c>
      <c r="F29" s="743">
        <v>43.979181803223526</v>
      </c>
      <c r="G29" s="743">
        <v>47.4363670769528</v>
      </c>
      <c r="H29" s="743">
        <v>49.98391473422041</v>
      </c>
      <c r="I29" s="743">
        <v>55.4</v>
      </c>
      <c r="J29" s="743">
        <v>62.6</v>
      </c>
      <c r="K29" s="743">
        <v>60.69999999999999</v>
      </c>
      <c r="L29" s="743">
        <v>55.1</v>
      </c>
      <c r="M29" s="743">
        <f>+'Sheet 4 Fee Schedule'!D34*1000/100</f>
        <v>50.6</v>
      </c>
      <c r="N29" s="351"/>
    </row>
    <row r="30" spans="1:14" ht="15">
      <c r="A30" s="810" t="str">
        <f>+'Sheet 4 Fee Schedule'!A35</f>
        <v>Steel Paint Cans</v>
      </c>
      <c r="B30" s="743">
        <v>36.33</v>
      </c>
      <c r="C30" s="743">
        <v>43.91</v>
      </c>
      <c r="D30" s="743">
        <v>47.45</v>
      </c>
      <c r="E30" s="743">
        <v>46.012677353665175</v>
      </c>
      <c r="F30" s="743">
        <v>43.979181803223526</v>
      </c>
      <c r="G30" s="743">
        <v>47.4363670769528</v>
      </c>
      <c r="H30" s="743">
        <v>49.98391473422041</v>
      </c>
      <c r="I30" s="743">
        <v>55.4</v>
      </c>
      <c r="J30" s="743">
        <v>62.6</v>
      </c>
      <c r="K30" s="743">
        <v>60.69999999999999</v>
      </c>
      <c r="L30" s="743">
        <v>55.1</v>
      </c>
      <c r="M30" s="743">
        <f>+'Sheet 4 Fee Schedule'!D35*1000/100</f>
        <v>50.6</v>
      </c>
      <c r="N30" s="351"/>
    </row>
    <row r="31" spans="1:14" ht="15">
      <c r="A31" s="811"/>
      <c r="B31" s="744"/>
      <c r="C31" s="744"/>
      <c r="D31" s="744"/>
      <c r="E31" s="744"/>
      <c r="F31" s="744"/>
      <c r="G31" s="744"/>
      <c r="H31" s="744"/>
      <c r="I31" s="744"/>
      <c r="J31" s="744"/>
      <c r="K31" s="744"/>
      <c r="L31" s="744"/>
      <c r="M31" s="744"/>
      <c r="N31" s="351"/>
    </row>
    <row r="32" spans="1:14" ht="15">
      <c r="A32" s="810" t="str">
        <f>+'Sheet 4 Fee Schedule'!A37</f>
        <v>Aluminum Food &amp; Beverage Cans</v>
      </c>
      <c r="B32" s="743">
        <v>-57.6658376322474</v>
      </c>
      <c r="C32" s="743">
        <v>-35.78</v>
      </c>
      <c r="D32" s="743">
        <v>-10.93</v>
      </c>
      <c r="E32" s="743">
        <v>-4.764947496477933</v>
      </c>
      <c r="F32" s="743">
        <v>-18.631222727235745</v>
      </c>
      <c r="G32" s="743">
        <v>-22.15278870253392</v>
      </c>
      <c r="H32" s="743">
        <v>-29.836865039925833</v>
      </c>
      <c r="I32" s="743">
        <v>-22</v>
      </c>
      <c r="J32" s="743">
        <v>5.2</v>
      </c>
      <c r="K32" s="743">
        <v>20</v>
      </c>
      <c r="L32" s="743">
        <v>25.599999999999994</v>
      </c>
      <c r="M32" s="743">
        <f>+'Sheet 4 Fee Schedule'!D37*1000/100</f>
        <v>17.7</v>
      </c>
      <c r="N32" s="351"/>
    </row>
    <row r="33" spans="1:14" ht="15">
      <c r="A33" s="810" t="str">
        <f>+'Sheet 4 Fee Schedule'!A38</f>
        <v>Other Aluminum Packaging</v>
      </c>
      <c r="B33" s="743">
        <v>-34.0987586092101</v>
      </c>
      <c r="C33" s="743">
        <v>16.18</v>
      </c>
      <c r="D33" s="743">
        <v>55.02</v>
      </c>
      <c r="E33" s="743">
        <v>35.76863819998456</v>
      </c>
      <c r="F33" s="743">
        <v>58.626861865452575</v>
      </c>
      <c r="G33" s="743">
        <v>50.95339436536893</v>
      </c>
      <c r="H33" s="743">
        <v>59.2060316177282</v>
      </c>
      <c r="I33" s="743">
        <v>13.9</v>
      </c>
      <c r="J33" s="743">
        <v>75</v>
      </c>
      <c r="K33" s="743">
        <v>84.1</v>
      </c>
      <c r="L33" s="743">
        <v>69.7</v>
      </c>
      <c r="M33" s="743">
        <f>+'Sheet 4 Fee Schedule'!D38*1000/100</f>
        <v>65.69999999999999</v>
      </c>
      <c r="N33" s="351"/>
    </row>
    <row r="34" spans="1:14" ht="15">
      <c r="A34" s="811"/>
      <c r="B34" s="744"/>
      <c r="C34" s="744"/>
      <c r="D34" s="744"/>
      <c r="E34" s="744"/>
      <c r="F34" s="744"/>
      <c r="G34" s="744"/>
      <c r="H34" s="744"/>
      <c r="I34" s="744"/>
      <c r="J34" s="744"/>
      <c r="K34" s="744"/>
      <c r="L34" s="744"/>
      <c r="M34" s="744"/>
      <c r="N34" s="351"/>
    </row>
    <row r="35" spans="1:14" ht="15">
      <c r="A35" s="810" t="str">
        <f>+'Sheet 4 Fee Schedule'!A41</f>
        <v>Clear Glass</v>
      </c>
      <c r="B35" s="743">
        <v>37.23</v>
      </c>
      <c r="C35" s="743">
        <v>36.82</v>
      </c>
      <c r="D35" s="743">
        <v>37.61</v>
      </c>
      <c r="E35" s="743">
        <v>33.09389591339549</v>
      </c>
      <c r="F35" s="743">
        <v>35.9646386862942</v>
      </c>
      <c r="G35" s="743">
        <v>35.2937202783169</v>
      </c>
      <c r="H35" s="743">
        <v>34.61226032585347</v>
      </c>
      <c r="I35" s="743">
        <v>38</v>
      </c>
      <c r="J35" s="743">
        <v>36.9</v>
      </c>
      <c r="K35" s="743">
        <v>32.699999999999996</v>
      </c>
      <c r="L35" s="743">
        <v>28.4</v>
      </c>
      <c r="M35" s="743">
        <f>+'Sheet 4 Fee Schedule'!D41*1000/100</f>
        <v>27.1</v>
      </c>
      <c r="N35" s="351"/>
    </row>
    <row r="36" spans="1:14" ht="15">
      <c r="A36" s="810" t="str">
        <f>+'Sheet 4 Fee Schedule'!A42</f>
        <v>Coloured Glass</v>
      </c>
      <c r="B36" s="743">
        <v>40.16</v>
      </c>
      <c r="C36" s="743">
        <v>39.16</v>
      </c>
      <c r="D36" s="743">
        <v>44.32</v>
      </c>
      <c r="E36" s="743">
        <v>36.02415673609086</v>
      </c>
      <c r="F36" s="743">
        <v>40.76751128855327</v>
      </c>
      <c r="G36" s="743">
        <v>39.76028107810004</v>
      </c>
      <c r="H36" s="743">
        <v>43.43895222844472</v>
      </c>
      <c r="I36" s="743">
        <v>41</v>
      </c>
      <c r="J36" s="743">
        <v>53.5</v>
      </c>
      <c r="K36" s="743">
        <v>38.3</v>
      </c>
      <c r="L36" s="743">
        <v>48.4</v>
      </c>
      <c r="M36" s="743">
        <f>+'Sheet 4 Fee Schedule'!D42*1000/100</f>
        <v>43.599999999999994</v>
      </c>
      <c r="N36" s="351"/>
    </row>
    <row r="37" spans="1:14" ht="15.75" thickBot="1">
      <c r="A37" s="812"/>
      <c r="B37" s="745"/>
      <c r="C37" s="745"/>
      <c r="D37" s="745"/>
      <c r="E37" s="745"/>
      <c r="F37" s="745"/>
      <c r="G37" s="745"/>
      <c r="H37" s="745"/>
      <c r="I37" s="745"/>
      <c r="J37" s="745"/>
      <c r="K37" s="745"/>
      <c r="L37" s="745"/>
      <c r="M37" s="745"/>
      <c r="N37" s="351"/>
    </row>
    <row r="38" spans="1:12" s="725" customFormat="1" ht="15.75" thickBot="1">
      <c r="A38" s="813"/>
      <c r="B38" s="835"/>
      <c r="C38" s="835"/>
      <c r="D38" s="860"/>
      <c r="E38" s="835"/>
      <c r="F38" s="835"/>
      <c r="G38" s="835"/>
      <c r="H38" s="835"/>
      <c r="I38" s="835"/>
      <c r="J38" s="835"/>
      <c r="K38" s="835"/>
      <c r="L38" s="835"/>
    </row>
    <row r="39" spans="1:14" ht="15.75" thickBot="1">
      <c r="A39" s="861" t="s">
        <v>113</v>
      </c>
      <c r="B39" s="862">
        <v>0.4</v>
      </c>
      <c r="C39" s="862">
        <v>2.15</v>
      </c>
      <c r="D39" s="862">
        <v>7.1</v>
      </c>
      <c r="E39" s="862">
        <v>5.47</v>
      </c>
      <c r="F39" s="862">
        <v>5.034395037545164</v>
      </c>
      <c r="G39" s="862">
        <v>6.774244033799564</v>
      </c>
      <c r="H39" s="862">
        <v>13.376036955718739</v>
      </c>
      <c r="I39" s="862">
        <v>5.979961570004998</v>
      </c>
      <c r="J39" s="862">
        <v>9.9</v>
      </c>
      <c r="K39" s="862">
        <v>18.8</v>
      </c>
      <c r="L39" s="862">
        <v>34.3</v>
      </c>
      <c r="M39" s="863">
        <f>+'Sheet 4 Fee Schedule'!I7*1000/100</f>
        <v>39.6</v>
      </c>
      <c r="N39" s="351"/>
    </row>
    <row r="40" ht="12.75">
      <c r="N40" s="351"/>
    </row>
    <row r="41" ht="12.75">
      <c r="N41" s="351"/>
    </row>
    <row r="42" ht="12.75">
      <c r="N42" s="351"/>
    </row>
    <row r="43" ht="12.75">
      <c r="N43" s="351"/>
    </row>
    <row r="44" ht="12.75">
      <c r="N44" s="351"/>
    </row>
    <row r="45" ht="12.75">
      <c r="N45" s="351"/>
    </row>
    <row r="46" ht="12.75">
      <c r="N46" s="351"/>
    </row>
    <row r="47" ht="12.75">
      <c r="N47" s="351"/>
    </row>
    <row r="48" ht="12.75">
      <c r="N48" s="351"/>
    </row>
    <row r="49" ht="12.75">
      <c r="N49" s="351"/>
    </row>
    <row r="50" ht="12.75">
      <c r="N50" s="351"/>
    </row>
    <row r="51" ht="12.75">
      <c r="N51" s="351"/>
    </row>
    <row r="52" ht="12.75">
      <c r="N52" s="351"/>
    </row>
    <row r="53" ht="12.75">
      <c r="N53" s="351"/>
    </row>
    <row r="54" ht="12.75">
      <c r="N54" s="351"/>
    </row>
    <row r="55" ht="12.75">
      <c r="N55" s="351"/>
    </row>
    <row r="56" ht="12.75">
      <c r="N56" s="351"/>
    </row>
    <row r="57" ht="12.75">
      <c r="N57" s="351"/>
    </row>
    <row r="58" ht="12.75">
      <c r="N58" s="351"/>
    </row>
    <row r="59" ht="12.75">
      <c r="N59" s="351"/>
    </row>
    <row r="60" ht="12.75">
      <c r="N60" s="351"/>
    </row>
    <row r="61" ht="12.75">
      <c r="N61" s="351"/>
    </row>
    <row r="62" ht="12.75">
      <c r="N62" s="351"/>
    </row>
    <row r="63" ht="12.75">
      <c r="N63" s="351"/>
    </row>
    <row r="64" ht="12.75">
      <c r="N64" s="351"/>
    </row>
    <row r="65" ht="12.75">
      <c r="N65" s="351"/>
    </row>
    <row r="66" ht="12.75">
      <c r="N66" s="351"/>
    </row>
    <row r="67" ht="12.75">
      <c r="N67" s="351"/>
    </row>
    <row r="68" ht="12.75">
      <c r="N68" s="351"/>
    </row>
    <row r="69" ht="12.75">
      <c r="N69" s="351"/>
    </row>
    <row r="70" ht="12.75">
      <c r="N70" s="351"/>
    </row>
    <row r="71" ht="12.75">
      <c r="N71" s="351"/>
    </row>
    <row r="72" ht="12.75">
      <c r="N72" s="351"/>
    </row>
    <row r="73" ht="12.75">
      <c r="N73" s="351"/>
    </row>
    <row r="74" ht="12.75">
      <c r="N74" s="351"/>
    </row>
    <row r="75" ht="12.75">
      <c r="N75" s="351"/>
    </row>
    <row r="76" ht="12.75">
      <c r="N76" s="351"/>
    </row>
    <row r="77" ht="12.75">
      <c r="N77" s="351"/>
    </row>
    <row r="78" ht="12.75">
      <c r="N78" s="351"/>
    </row>
    <row r="79" ht="12.75">
      <c r="N79" s="351"/>
    </row>
    <row r="80" ht="12.75">
      <c r="N80" s="351"/>
    </row>
    <row r="81" ht="12.75">
      <c r="N81" s="351"/>
    </row>
    <row r="82" ht="12.75">
      <c r="N82" s="351"/>
    </row>
    <row r="83" ht="12.75">
      <c r="N83" s="351"/>
    </row>
    <row r="84" ht="12.75">
      <c r="N84" s="351"/>
    </row>
    <row r="85" ht="12.75">
      <c r="N85" s="351"/>
    </row>
    <row r="86" ht="12.75">
      <c r="N86" s="351"/>
    </row>
    <row r="87" ht="12.75">
      <c r="N87" s="351"/>
    </row>
    <row r="88" ht="12.75">
      <c r="N88" s="351"/>
    </row>
    <row r="89" ht="12.75">
      <c r="N89" s="351"/>
    </row>
    <row r="90" ht="12.75">
      <c r="N90" s="351"/>
    </row>
    <row r="91" ht="12.75">
      <c r="N91" s="351"/>
    </row>
    <row r="92" ht="12.75">
      <c r="N92" s="351"/>
    </row>
    <row r="93" ht="12.75">
      <c r="N93" s="351"/>
    </row>
    <row r="94" ht="12.75">
      <c r="N94" s="351"/>
    </row>
    <row r="95" ht="12.75">
      <c r="N95" s="351"/>
    </row>
    <row r="96" ht="12.75">
      <c r="N96" s="351"/>
    </row>
    <row r="97" ht="12.75">
      <c r="N97" s="351"/>
    </row>
    <row r="98" ht="12.75">
      <c r="N98" s="351"/>
    </row>
    <row r="99" ht="12.75">
      <c r="N99" s="351"/>
    </row>
    <row r="100" ht="12.75">
      <c r="N100" s="351"/>
    </row>
    <row r="101" ht="12.75">
      <c r="N101" s="351"/>
    </row>
    <row r="102" ht="12.75">
      <c r="N102" s="351"/>
    </row>
    <row r="103" ht="12.75">
      <c r="N103" s="351"/>
    </row>
    <row r="104" ht="12.75">
      <c r="N104" s="351"/>
    </row>
    <row r="105" ht="12.75">
      <c r="N105" s="351"/>
    </row>
    <row r="106" ht="12.75">
      <c r="N106" s="351"/>
    </row>
    <row r="107" ht="12.75">
      <c r="N107" s="351"/>
    </row>
    <row r="108" ht="12.75">
      <c r="N108" s="351"/>
    </row>
    <row r="109" ht="12.75">
      <c r="N109" s="351"/>
    </row>
    <row r="110" ht="12.75">
      <c r="N110" s="351"/>
    </row>
    <row r="111" ht="12.75">
      <c r="N111" s="351"/>
    </row>
    <row r="112" ht="12.75">
      <c r="N112" s="351"/>
    </row>
    <row r="113" ht="12.75">
      <c r="N113" s="351"/>
    </row>
    <row r="114" ht="12.75">
      <c r="N114" s="351"/>
    </row>
    <row r="115" ht="12.75">
      <c r="N115" s="351"/>
    </row>
    <row r="116" ht="12.75">
      <c r="N116" s="351"/>
    </row>
    <row r="117" ht="18" customHeight="1">
      <c r="N117" s="351"/>
    </row>
    <row r="118" ht="18" customHeight="1">
      <c r="N118" s="351"/>
    </row>
    <row r="119" ht="18" customHeight="1">
      <c r="N119" s="351"/>
    </row>
    <row r="120" ht="18" customHeight="1">
      <c r="N120" s="351"/>
    </row>
  </sheetData>
  <sheetProtection password="D6C3" sheet="1"/>
  <printOptions/>
  <pageMargins left="0.7480314960629921" right="0.7480314960629921" top="0.984251968503937" bottom="0.984251968503937" header="0.5118110236220472" footer="0.5118110236220472"/>
  <pageSetup fitToHeight="1" fitToWidth="1" horizontalDpi="600" verticalDpi="600" orientation="landscape" scale="73" r:id="rId1"/>
  <headerFooter alignWithMargins="0">
    <oddFooter>&amp;L&amp;12Steward Fee-Setting&amp;R&amp;12Stewardship Ontario, 
November, 2013</oddFooter>
  </headerFooter>
</worksheet>
</file>

<file path=xl/worksheets/sheet9.xml><?xml version="1.0" encoding="utf-8"?>
<worksheet xmlns="http://schemas.openxmlformats.org/spreadsheetml/2006/main" xmlns:r="http://schemas.openxmlformats.org/officeDocument/2006/relationships">
  <sheetPr codeName="Sheet10">
    <pageSetUpPr fitToPage="1"/>
  </sheetPr>
  <dimension ref="A2:L28"/>
  <sheetViews>
    <sheetView showGridLines="0" zoomScale="75" zoomScaleNormal="75" zoomScalePageLayoutView="0" workbookViewId="0" topLeftCell="A1">
      <selection activeCell="B4" sqref="B4"/>
    </sheetView>
  </sheetViews>
  <sheetFormatPr defaultColWidth="9.140625" defaultRowHeight="12.75"/>
  <cols>
    <col min="1" max="1" width="37.7109375" style="0" bestFit="1" customWidth="1"/>
    <col min="2" max="12" width="18.140625" style="0" customWidth="1"/>
  </cols>
  <sheetData>
    <row r="2" spans="2:12" ht="15.75">
      <c r="B2" s="859" t="s">
        <v>194</v>
      </c>
      <c r="C2" s="859" t="s">
        <v>194</v>
      </c>
      <c r="D2" s="859" t="s">
        <v>194</v>
      </c>
      <c r="E2" s="859" t="s">
        <v>194</v>
      </c>
      <c r="F2" s="859" t="s">
        <v>194</v>
      </c>
      <c r="G2" s="859" t="s">
        <v>194</v>
      </c>
      <c r="H2" s="859" t="s">
        <v>194</v>
      </c>
      <c r="I2" s="859" t="s">
        <v>194</v>
      </c>
      <c r="J2" s="859" t="s">
        <v>194</v>
      </c>
      <c r="K2" s="859" t="s">
        <v>194</v>
      </c>
      <c r="L2" s="859" t="s">
        <v>194</v>
      </c>
    </row>
    <row r="3" spans="1:12" ht="15.75">
      <c r="A3" s="857" t="s">
        <v>98</v>
      </c>
      <c r="B3" s="855" t="str">
        <f>'Historic Fee Rates'!C7</f>
        <v>2004 Fees</v>
      </c>
      <c r="C3" s="855" t="str">
        <f>'Historic Fee Rates'!D7</f>
        <v>2005 Fees</v>
      </c>
      <c r="D3" s="855" t="str">
        <f>'Historic Fee Rates'!E7</f>
        <v>2006 Fees</v>
      </c>
      <c r="E3" s="855" t="str">
        <f>'Historic Fee Rates'!F7</f>
        <v>2007 Fees</v>
      </c>
      <c r="F3" s="855" t="str">
        <f>'Historic Fee Rates'!G7</f>
        <v>2008 Fees</v>
      </c>
      <c r="G3" s="855" t="str">
        <f>'Historic Fee Rates'!H7</f>
        <v>2009 Fees</v>
      </c>
      <c r="H3" s="855" t="str">
        <f>'Historic Fee Rates'!I7</f>
        <v>2010 Fees</v>
      </c>
      <c r="I3" s="855" t="str">
        <f>'Historic Fee Rates'!J7</f>
        <v>2011 Fees</v>
      </c>
      <c r="J3" s="855" t="str">
        <f>'Historic Fee Rates'!K7</f>
        <v>2012 Fees</v>
      </c>
      <c r="K3" s="855" t="str">
        <f>'Historic Fee Rates'!L7</f>
        <v>2013 Fees</v>
      </c>
      <c r="L3" s="855" t="str">
        <f>'Historic Fee Rates'!M7</f>
        <v>2014 Fees</v>
      </c>
    </row>
    <row r="4" spans="1:12" ht="15">
      <c r="A4" s="858" t="str">
        <f>+'Historic Fee Rates'!A9</f>
        <v>Newsprint - CNA/OCNA</v>
      </c>
      <c r="B4" s="856">
        <f>+INDEX('Historic Fee Rates'!C$9:C$36,MATCH('Graph Data'!$A4,'Historic Fee Rates'!$A$9:$A$36,0))</f>
        <v>0.26</v>
      </c>
      <c r="C4" s="856">
        <f>+INDEX('Historic Fee Rates'!D$9:D$36,MATCH('Graph Data'!$A4,'Historic Fee Rates'!$A$9:$A$36,0))</f>
        <v>0.76</v>
      </c>
      <c r="D4" s="856">
        <f>+INDEX('Historic Fee Rates'!E$9:E$36,MATCH('Graph Data'!$A4,'Historic Fee Rates'!$A$9:$A$36,0))</f>
        <v>1.82</v>
      </c>
      <c r="E4" s="856">
        <f>+INDEX('Historic Fee Rates'!F$9:F$36,MATCH('Graph Data'!$A4,'Historic Fee Rates'!$A$9:$A$36,0))</f>
        <v>1.979799338111835</v>
      </c>
      <c r="F4" s="856">
        <f>+INDEX('Historic Fee Rates'!G$9:G$36,MATCH('Graph Data'!$A4,'Historic Fee Rates'!$A$9:$A$36,0))</f>
        <v>1.478071136328613</v>
      </c>
      <c r="G4" s="856">
        <f>+INDEX('Historic Fee Rates'!H$9:H$36,MATCH('Graph Data'!$A4,'Historic Fee Rates'!$A$9:$A$36,0))</f>
        <v>1.5418634318364675</v>
      </c>
      <c r="H4" s="856">
        <f>+INDEX('Historic Fee Rates'!I$9:I$36,MATCH('Graph Data'!$A4,'Historic Fee Rates'!$A$9:$A$36,0))</f>
        <v>1.7</v>
      </c>
      <c r="I4" s="856">
        <f>+INDEX('Historic Fee Rates'!J$9:J$36,MATCH('Graph Data'!$A4,'Historic Fee Rates'!$A$9:$A$36,0))</f>
        <v>2.9000000000000004</v>
      </c>
      <c r="J4" s="856">
        <f>+INDEX('Historic Fee Rates'!K$9:K$36,MATCH('Graph Data'!$A4,'Historic Fee Rates'!$A$9:$A$36,0))</f>
        <v>3.3</v>
      </c>
      <c r="K4" s="856">
        <f>+INDEX('Historic Fee Rates'!L$9:L$36,MATCH('Graph Data'!$A4,'Historic Fee Rates'!$A$9:$A$36,0))</f>
        <v>4.2</v>
      </c>
      <c r="L4" s="856">
        <f>+INDEX('Historic Fee Rates'!M$9:M$36,MATCH('Graph Data'!$A4,'Historic Fee Rates'!$A$9:$A$36,0))</f>
        <v>3</v>
      </c>
    </row>
    <row r="5" spans="1:12" ht="15">
      <c r="A5" s="858" t="str">
        <f>+'Historic Fee Rates'!A10</f>
        <v>Newsprint - Non-CNA/OCNA</v>
      </c>
      <c r="B5" s="856">
        <f>+INDEX('Historic Fee Rates'!C$9:C$36,MATCH('Graph Data'!$A5,'Historic Fee Rates'!$A$9:$A$36,0))</f>
        <v>0.26</v>
      </c>
      <c r="C5" s="856">
        <f>+INDEX('Historic Fee Rates'!D$9:D$36,MATCH('Graph Data'!$A5,'Historic Fee Rates'!$A$9:$A$36,0))</f>
        <v>7.86</v>
      </c>
      <c r="D5" s="856">
        <f>+INDEX('Historic Fee Rates'!E$9:E$36,MATCH('Graph Data'!$A5,'Historic Fee Rates'!$A$9:$A$36,0))</f>
        <v>7.33189299419214</v>
      </c>
      <c r="E5" s="856">
        <f>+INDEX('Historic Fee Rates'!F$9:F$36,MATCH('Graph Data'!$A5,'Historic Fee Rates'!$A$9:$A$36,0))</f>
        <v>6.742588963340355</v>
      </c>
      <c r="F5" s="856">
        <f>+INDEX('Historic Fee Rates'!G$9:G$36,MATCH('Graph Data'!$A5,'Historic Fee Rates'!$A$9:$A$36,0))</f>
        <v>7.638253904580368</v>
      </c>
      <c r="G5" s="856">
        <f>+INDEX('Historic Fee Rates'!H$9:H$36,MATCH('Graph Data'!$A5,'Historic Fee Rates'!$A$9:$A$36,0))</f>
        <v>13.460826036568722</v>
      </c>
      <c r="H5" s="856">
        <f>+INDEX('Historic Fee Rates'!I$9:I$36,MATCH('Graph Data'!$A5,'Historic Fee Rates'!$A$9:$A$36,0))</f>
        <v>7.1</v>
      </c>
      <c r="I5" s="856">
        <f>+INDEX('Historic Fee Rates'!J$9:J$36,MATCH('Graph Data'!$A5,'Historic Fee Rates'!$A$9:$A$36,0))</f>
        <v>11.2</v>
      </c>
      <c r="J5" s="856">
        <f>+INDEX('Historic Fee Rates'!K$9:K$36,MATCH('Graph Data'!$A5,'Historic Fee Rates'!$A$9:$A$36,0))</f>
        <v>20.199999999999996</v>
      </c>
      <c r="K5" s="856">
        <f>+INDEX('Historic Fee Rates'!L$9:L$36,MATCH('Graph Data'!$A5,'Historic Fee Rates'!$A$9:$A$36,0))</f>
        <v>36.199999999999996</v>
      </c>
      <c r="L5" s="856">
        <f>+INDEX('Historic Fee Rates'!M$9:M$36,MATCH('Graph Data'!$A5,'Historic Fee Rates'!$A$9:$A$36,0))</f>
        <v>41.8</v>
      </c>
    </row>
    <row r="6" spans="1:12" ht="15">
      <c r="A6" s="858" t="str">
        <f>+'Historic Fee Rates'!A11</f>
        <v>Magazines and Catalogues</v>
      </c>
      <c r="B6" s="856">
        <f>+INDEX('Historic Fee Rates'!C$9:C$36,MATCH('Graph Data'!$A6,'Historic Fee Rates'!$A$9:$A$36,0))</f>
        <v>3.1</v>
      </c>
      <c r="C6" s="856">
        <f>+INDEX('Historic Fee Rates'!D$9:D$36,MATCH('Graph Data'!$A6,'Historic Fee Rates'!$A$9:$A$36,0))</f>
        <v>8.62</v>
      </c>
      <c r="D6" s="856">
        <f>+INDEX('Historic Fee Rates'!E$9:E$36,MATCH('Graph Data'!$A6,'Historic Fee Rates'!$A$9:$A$36,0))</f>
        <v>14.80554348602006</v>
      </c>
      <c r="E6" s="856">
        <f>+INDEX('Historic Fee Rates'!F$9:F$36,MATCH('Graph Data'!$A6,'Historic Fee Rates'!$A$9:$A$36,0))</f>
        <v>18.401472742575557</v>
      </c>
      <c r="F6" s="856">
        <f>+INDEX('Historic Fee Rates'!G$9:G$36,MATCH('Graph Data'!$A6,'Historic Fee Rates'!$A$9:$A$36,0))</f>
        <v>21.824292805857553</v>
      </c>
      <c r="G6" s="856">
        <f>+INDEX('Historic Fee Rates'!H$9:H$36,MATCH('Graph Data'!$A6,'Historic Fee Rates'!$A$9:$A$36,0))</f>
        <v>33.73381813204801</v>
      </c>
      <c r="H6" s="856">
        <f>+INDEX('Historic Fee Rates'!I$9:I$36,MATCH('Graph Data'!$A6,'Historic Fee Rates'!$A$9:$A$36,0))</f>
        <v>19.7</v>
      </c>
      <c r="I6" s="856">
        <f>+INDEX('Historic Fee Rates'!J$9:J$36,MATCH('Graph Data'!$A6,'Historic Fee Rates'!$A$9:$A$36,0))</f>
        <v>24.8</v>
      </c>
      <c r="J6" s="856">
        <f>+INDEX('Historic Fee Rates'!K$9:K$36,MATCH('Graph Data'!$A6,'Historic Fee Rates'!$A$9:$A$36,0))</f>
        <v>54.5</v>
      </c>
      <c r="K6" s="856">
        <f>+INDEX('Historic Fee Rates'!L$9:L$36,MATCH('Graph Data'!$A6,'Historic Fee Rates'!$A$9:$A$36,0))</f>
        <v>64.7</v>
      </c>
      <c r="L6" s="856">
        <f>+INDEX('Historic Fee Rates'!M$9:M$36,MATCH('Graph Data'!$A6,'Historic Fee Rates'!$A$9:$A$36,0))</f>
        <v>67.4</v>
      </c>
    </row>
    <row r="7" spans="1:12" ht="15">
      <c r="A7" s="858" t="str">
        <f>+'Historic Fee Rates'!A12</f>
        <v>Telephone Books</v>
      </c>
      <c r="B7" s="856">
        <f>+INDEX('Historic Fee Rates'!C$9:C$36,MATCH('Graph Data'!$A7,'Historic Fee Rates'!$A$9:$A$36,0))</f>
        <v>6.87</v>
      </c>
      <c r="C7" s="856">
        <f>+INDEX('Historic Fee Rates'!D$9:D$36,MATCH('Graph Data'!$A7,'Historic Fee Rates'!$A$9:$A$36,0))</f>
        <v>13.02</v>
      </c>
      <c r="D7" s="856">
        <f>+INDEX('Historic Fee Rates'!E$9:E$36,MATCH('Graph Data'!$A7,'Historic Fee Rates'!$A$9:$A$36,0))</f>
        <v>11.895464629483744</v>
      </c>
      <c r="E7" s="856">
        <f>+INDEX('Historic Fee Rates'!F$9:F$36,MATCH('Graph Data'!$A7,'Historic Fee Rates'!$A$9:$A$36,0))</f>
        <v>18.401472742575557</v>
      </c>
      <c r="F7" s="856">
        <f>+INDEX('Historic Fee Rates'!G$9:G$36,MATCH('Graph Data'!$A7,'Historic Fee Rates'!$A$9:$A$36,0))</f>
        <v>21.824292805857553</v>
      </c>
      <c r="G7" s="856">
        <f>+INDEX('Historic Fee Rates'!H$9:H$36,MATCH('Graph Data'!$A7,'Historic Fee Rates'!$A$9:$A$36,0))</f>
        <v>33.73381813204801</v>
      </c>
      <c r="H7" s="856">
        <f>+INDEX('Historic Fee Rates'!I$9:I$36,MATCH('Graph Data'!$A7,'Historic Fee Rates'!$A$9:$A$36,0))</f>
        <v>19.7</v>
      </c>
      <c r="I7" s="856">
        <f>+INDEX('Historic Fee Rates'!J$9:J$36,MATCH('Graph Data'!$A7,'Historic Fee Rates'!$A$9:$A$36,0))</f>
        <v>24.8</v>
      </c>
      <c r="J7" s="856">
        <f>+INDEX('Historic Fee Rates'!K$9:K$36,MATCH('Graph Data'!$A7,'Historic Fee Rates'!$A$9:$A$36,0))</f>
        <v>54.5</v>
      </c>
      <c r="K7" s="856">
        <f>+INDEX('Historic Fee Rates'!L$9:L$36,MATCH('Graph Data'!$A7,'Historic Fee Rates'!$A$9:$A$36,0))</f>
        <v>66.4</v>
      </c>
      <c r="L7" s="856">
        <f>+INDEX('Historic Fee Rates'!M$9:M$36,MATCH('Graph Data'!$A7,'Historic Fee Rates'!$A$9:$A$36,0))</f>
        <v>64.6</v>
      </c>
    </row>
    <row r="8" spans="1:12" ht="15">
      <c r="A8" s="858" t="str">
        <f>+'Historic Fee Rates'!A13</f>
        <v>Other Printed Paper</v>
      </c>
      <c r="B8" s="856">
        <f>+INDEX('Historic Fee Rates'!C$9:C$36,MATCH('Graph Data'!$A8,'Historic Fee Rates'!$A$9:$A$36,0))</f>
        <v>13.18</v>
      </c>
      <c r="C8" s="856">
        <f>+INDEX('Historic Fee Rates'!D$9:D$36,MATCH('Graph Data'!$A8,'Historic Fee Rates'!$A$9:$A$36,0))</f>
        <v>90.29</v>
      </c>
      <c r="D8" s="856">
        <f>+INDEX('Historic Fee Rates'!E$9:E$36,MATCH('Graph Data'!$A8,'Historic Fee Rates'!$A$9:$A$36,0))</f>
        <v>79.59753115094605</v>
      </c>
      <c r="E8" s="856">
        <f>+INDEX('Historic Fee Rates'!F$9:F$36,MATCH('Graph Data'!$A8,'Historic Fee Rates'!$A$9:$A$36,0))</f>
        <v>18.401472742575557</v>
      </c>
      <c r="F8" s="856">
        <f>+INDEX('Historic Fee Rates'!G$9:G$36,MATCH('Graph Data'!$A8,'Historic Fee Rates'!$A$9:$A$36,0))</f>
        <v>21.824292805857553</v>
      </c>
      <c r="G8" s="856">
        <f>+INDEX('Historic Fee Rates'!H$9:H$36,MATCH('Graph Data'!$A8,'Historic Fee Rates'!$A$9:$A$36,0))</f>
        <v>33.73381813204801</v>
      </c>
      <c r="H8" s="856">
        <f>+INDEX('Historic Fee Rates'!I$9:I$36,MATCH('Graph Data'!$A8,'Historic Fee Rates'!$A$9:$A$36,0))</f>
        <v>19.7</v>
      </c>
      <c r="I8" s="856">
        <f>+INDEX('Historic Fee Rates'!J$9:J$36,MATCH('Graph Data'!$A8,'Historic Fee Rates'!$A$9:$A$36,0))</f>
        <v>24.8</v>
      </c>
      <c r="J8" s="856">
        <f>+INDEX('Historic Fee Rates'!K$9:K$36,MATCH('Graph Data'!$A8,'Historic Fee Rates'!$A$9:$A$36,0))</f>
        <v>54.5</v>
      </c>
      <c r="K8" s="856">
        <f>+INDEX('Historic Fee Rates'!L$9:L$36,MATCH('Graph Data'!$A8,'Historic Fee Rates'!$A$9:$A$36,0))</f>
        <v>99.9</v>
      </c>
      <c r="L8" s="856">
        <f>+INDEX('Historic Fee Rates'!M$9:M$36,MATCH('Graph Data'!$A8,'Historic Fee Rates'!$A$9:$A$36,0))</f>
        <v>122.9</v>
      </c>
    </row>
    <row r="9" spans="1:12" ht="15">
      <c r="A9" s="858" t="str">
        <f>+'Historic Fee Rates'!A15</f>
        <v>Corrugated Cardboard</v>
      </c>
      <c r="B9" s="856">
        <f>+INDEX('Historic Fee Rates'!C$9:C$36,MATCH('Graph Data'!$A9,'Historic Fee Rates'!$A$9:$A$36,0))</f>
        <v>59.87</v>
      </c>
      <c r="C9" s="856">
        <f>+INDEX('Historic Fee Rates'!D$9:D$36,MATCH('Graph Data'!$A9,'Historic Fee Rates'!$A$9:$A$36,0))</f>
        <v>79.04</v>
      </c>
      <c r="D9" s="856">
        <f>+INDEX('Historic Fee Rates'!E$9:E$36,MATCH('Graph Data'!$A9,'Historic Fee Rates'!$A$9:$A$36,0))</f>
        <v>76.72544671319383</v>
      </c>
      <c r="E9" s="856">
        <f>+INDEX('Historic Fee Rates'!F$9:F$36,MATCH('Graph Data'!$A9,'Historic Fee Rates'!$A$9:$A$36,0))</f>
        <v>71.65715999360948</v>
      </c>
      <c r="F9" s="856">
        <f>+INDEX('Historic Fee Rates'!G$9:G$36,MATCH('Graph Data'!$A9,'Historic Fee Rates'!$A$9:$A$36,0))</f>
        <v>72.51641775723046</v>
      </c>
      <c r="G9" s="856">
        <f>+INDEX('Historic Fee Rates'!H$9:H$36,MATCH('Graph Data'!$A9,'Historic Fee Rates'!$A$9:$A$36,0))</f>
        <v>80.20087024775773</v>
      </c>
      <c r="H9" s="856">
        <f>+INDEX('Historic Fee Rates'!I$9:I$36,MATCH('Graph Data'!$A9,'Historic Fee Rates'!$A$9:$A$36,0))</f>
        <v>78.1</v>
      </c>
      <c r="I9" s="856">
        <f>+INDEX('Historic Fee Rates'!J$9:J$36,MATCH('Graph Data'!$A9,'Historic Fee Rates'!$A$9:$A$36,0))</f>
        <v>77</v>
      </c>
      <c r="J9" s="856">
        <f>+INDEX('Historic Fee Rates'!K$9:K$36,MATCH('Graph Data'!$A9,'Historic Fee Rates'!$A$9:$A$36,0))</f>
        <v>114.48524813645756</v>
      </c>
      <c r="K9" s="856">
        <f>+INDEX('Historic Fee Rates'!L$9:L$36,MATCH('Graph Data'!$A9,'Historic Fee Rates'!$A$9:$A$36,0))</f>
        <v>83.9</v>
      </c>
      <c r="L9" s="856">
        <f>+INDEX('Historic Fee Rates'!M$9:M$36,MATCH('Graph Data'!$A9,'Historic Fee Rates'!$A$9:$A$36,0))</f>
        <v>81</v>
      </c>
    </row>
    <row r="10" spans="1:12" ht="15">
      <c r="A10" s="858" t="str">
        <f>+'Historic Fee Rates'!A16</f>
        <v>Boxboard</v>
      </c>
      <c r="B10" s="856">
        <f>+INDEX('Historic Fee Rates'!C$9:C$36,MATCH('Graph Data'!$A10,'Historic Fee Rates'!$A$9:$A$36,0))</f>
        <v>59.87</v>
      </c>
      <c r="C10" s="856">
        <f>+INDEX('Historic Fee Rates'!D$9:D$36,MATCH('Graph Data'!$A10,'Historic Fee Rates'!$A$9:$A$36,0))</f>
        <v>79.04</v>
      </c>
      <c r="D10" s="856">
        <f>+INDEX('Historic Fee Rates'!E$9:E$36,MATCH('Graph Data'!$A10,'Historic Fee Rates'!$A$9:$A$36,0))</f>
        <v>76.72544671319383</v>
      </c>
      <c r="E10" s="856">
        <f>+INDEX('Historic Fee Rates'!F$9:F$36,MATCH('Graph Data'!$A10,'Historic Fee Rates'!$A$9:$A$36,0))</f>
        <v>71.65715999360948</v>
      </c>
      <c r="F10" s="856">
        <f>+INDEX('Historic Fee Rates'!G$9:G$36,MATCH('Graph Data'!$A10,'Historic Fee Rates'!$A$9:$A$36,0))</f>
        <v>72.51641775723046</v>
      </c>
      <c r="G10" s="856">
        <f>+INDEX('Historic Fee Rates'!H$9:H$36,MATCH('Graph Data'!$A10,'Historic Fee Rates'!$A$9:$A$36,0))</f>
        <v>80.20087024775773</v>
      </c>
      <c r="H10" s="856">
        <f>+INDEX('Historic Fee Rates'!I$9:I$36,MATCH('Graph Data'!$A10,'Historic Fee Rates'!$A$9:$A$36,0))</f>
        <v>78.1</v>
      </c>
      <c r="I10" s="856">
        <f>+INDEX('Historic Fee Rates'!J$9:J$36,MATCH('Graph Data'!$A10,'Historic Fee Rates'!$A$9:$A$36,0))</f>
        <v>77</v>
      </c>
      <c r="J10" s="856">
        <f>+INDEX('Historic Fee Rates'!K$9:K$36,MATCH('Graph Data'!$A10,'Historic Fee Rates'!$A$9:$A$36,0))</f>
        <v>93.369105045682</v>
      </c>
      <c r="K10" s="856">
        <f>+INDEX('Historic Fee Rates'!L$9:L$36,MATCH('Graph Data'!$A10,'Historic Fee Rates'!$A$9:$A$36,0))</f>
        <v>83.9</v>
      </c>
      <c r="L10" s="856">
        <f>+INDEX('Historic Fee Rates'!M$9:M$36,MATCH('Graph Data'!$A10,'Historic Fee Rates'!$A$9:$A$36,0))</f>
        <v>81</v>
      </c>
    </row>
    <row r="11" spans="1:12" ht="15">
      <c r="A11" s="858" t="str">
        <f>+'Historic Fee Rates'!A17</f>
        <v>Gable Top Cartons</v>
      </c>
      <c r="B11" s="856">
        <f>+INDEX('Historic Fee Rates'!C$9:C$36,MATCH('Graph Data'!$A11,'Historic Fee Rates'!$A$9:$A$36,0))</f>
        <v>59.87</v>
      </c>
      <c r="C11" s="856">
        <f>+INDEX('Historic Fee Rates'!D$9:D$36,MATCH('Graph Data'!$A11,'Historic Fee Rates'!$A$9:$A$36,0))</f>
        <v>79.04</v>
      </c>
      <c r="D11" s="856">
        <f>+INDEX('Historic Fee Rates'!E$9:E$36,MATCH('Graph Data'!$A11,'Historic Fee Rates'!$A$9:$A$36,0))</f>
        <v>76.72544671319383</v>
      </c>
      <c r="E11" s="856">
        <f>+INDEX('Historic Fee Rates'!F$9:F$36,MATCH('Graph Data'!$A11,'Historic Fee Rates'!$A$9:$A$36,0))</f>
        <v>100.55331036250215</v>
      </c>
      <c r="F11" s="856">
        <f>+INDEX('Historic Fee Rates'!G$9:G$36,MATCH('Graph Data'!$A11,'Historic Fee Rates'!$A$9:$A$36,0))</f>
        <v>125.34432015022884</v>
      </c>
      <c r="G11" s="856">
        <f>+INDEX('Historic Fee Rates'!H$9:H$36,MATCH('Graph Data'!$A11,'Historic Fee Rates'!$A$9:$A$36,0))</f>
        <v>135.08362386516842</v>
      </c>
      <c r="H11" s="856">
        <f>+INDEX('Historic Fee Rates'!I$9:I$36,MATCH('Graph Data'!$A11,'Historic Fee Rates'!$A$9:$A$36,0))</f>
        <v>196.5</v>
      </c>
      <c r="I11" s="856">
        <f>+INDEX('Historic Fee Rates'!J$9:J$36,MATCH('Graph Data'!$A11,'Historic Fee Rates'!$A$9:$A$36,0))</f>
        <v>237.5</v>
      </c>
      <c r="J11" s="856">
        <f>+INDEX('Historic Fee Rates'!K$9:K$36,MATCH('Graph Data'!$A11,'Historic Fee Rates'!$A$9:$A$36,0))</f>
        <v>187.6</v>
      </c>
      <c r="K11" s="856">
        <f>+INDEX('Historic Fee Rates'!L$9:L$36,MATCH('Graph Data'!$A11,'Historic Fee Rates'!$A$9:$A$36,0))</f>
        <v>182.20000000000005</v>
      </c>
      <c r="L11" s="856">
        <f>+INDEX('Historic Fee Rates'!M$9:M$36,MATCH('Graph Data'!$A11,'Historic Fee Rates'!$A$9:$A$36,0))</f>
        <v>181.9</v>
      </c>
    </row>
    <row r="12" spans="1:12" ht="15">
      <c r="A12" s="858" t="str">
        <f>+'Historic Fee Rates'!A18</f>
        <v>Paper Laminates</v>
      </c>
      <c r="B12" s="856">
        <f>+INDEX('Historic Fee Rates'!C$9:C$36,MATCH('Graph Data'!$A12,'Historic Fee Rates'!$A$9:$A$36,0))</f>
        <v>59.87</v>
      </c>
      <c r="C12" s="856">
        <f>+INDEX('Historic Fee Rates'!D$9:D$36,MATCH('Graph Data'!$A12,'Historic Fee Rates'!$A$9:$A$36,0))</f>
        <v>79.04</v>
      </c>
      <c r="D12" s="856">
        <f>+INDEX('Historic Fee Rates'!E$9:E$36,MATCH('Graph Data'!$A12,'Historic Fee Rates'!$A$9:$A$36,0))</f>
        <v>76.72544671319383</v>
      </c>
      <c r="E12" s="856">
        <f>+INDEX('Historic Fee Rates'!F$9:F$36,MATCH('Graph Data'!$A12,'Historic Fee Rates'!$A$9:$A$36,0))</f>
        <v>100.55331036250215</v>
      </c>
      <c r="F12" s="856">
        <f>+INDEX('Historic Fee Rates'!G$9:G$36,MATCH('Graph Data'!$A12,'Historic Fee Rates'!$A$9:$A$36,0))</f>
        <v>125.34432015022884</v>
      </c>
      <c r="G12" s="856">
        <f>+INDEX('Historic Fee Rates'!H$9:H$36,MATCH('Graph Data'!$A12,'Historic Fee Rates'!$A$9:$A$36,0))</f>
        <v>135.08362386516842</v>
      </c>
      <c r="H12" s="856">
        <f>+INDEX('Historic Fee Rates'!I$9:I$36,MATCH('Graph Data'!$A12,'Historic Fee Rates'!$A$9:$A$36,0))</f>
        <v>196.5</v>
      </c>
      <c r="I12" s="856">
        <f>+INDEX('Historic Fee Rates'!J$9:J$36,MATCH('Graph Data'!$A12,'Historic Fee Rates'!$A$9:$A$36,0))</f>
        <v>237.5</v>
      </c>
      <c r="J12" s="856">
        <f>+INDEX('Historic Fee Rates'!K$9:K$36,MATCH('Graph Data'!$A12,'Historic Fee Rates'!$A$9:$A$36,0))</f>
        <v>187.6</v>
      </c>
      <c r="K12" s="856">
        <f>+INDEX('Historic Fee Rates'!L$9:L$36,MATCH('Graph Data'!$A12,'Historic Fee Rates'!$A$9:$A$36,0))</f>
        <v>182.20000000000005</v>
      </c>
      <c r="L12" s="856">
        <f>+INDEX('Historic Fee Rates'!M$9:M$36,MATCH('Graph Data'!$A12,'Historic Fee Rates'!$A$9:$A$36,0))</f>
        <v>181.9</v>
      </c>
    </row>
    <row r="13" spans="1:12" ht="15">
      <c r="A13" s="858" t="str">
        <f>+'Historic Fee Rates'!A19</f>
        <v>Aseptic Containers</v>
      </c>
      <c r="B13" s="856">
        <f>+INDEX('Historic Fee Rates'!C$9:C$36,MATCH('Graph Data'!$A13,'Historic Fee Rates'!$A$9:$A$36,0))</f>
        <v>59.87</v>
      </c>
      <c r="C13" s="856">
        <f>+INDEX('Historic Fee Rates'!D$9:D$36,MATCH('Graph Data'!$A13,'Historic Fee Rates'!$A$9:$A$36,0))</f>
        <v>79.04</v>
      </c>
      <c r="D13" s="856">
        <f>+INDEX('Historic Fee Rates'!E$9:E$36,MATCH('Graph Data'!$A13,'Historic Fee Rates'!$A$9:$A$36,0))</f>
        <v>76.72544671319383</v>
      </c>
      <c r="E13" s="856">
        <f>+INDEX('Historic Fee Rates'!F$9:F$36,MATCH('Graph Data'!$A13,'Historic Fee Rates'!$A$9:$A$36,0))</f>
        <v>100.55331036250215</v>
      </c>
      <c r="F13" s="856">
        <f>+INDEX('Historic Fee Rates'!G$9:G$36,MATCH('Graph Data'!$A13,'Historic Fee Rates'!$A$9:$A$36,0))</f>
        <v>125.34432015022884</v>
      </c>
      <c r="G13" s="856">
        <f>+INDEX('Historic Fee Rates'!H$9:H$36,MATCH('Graph Data'!$A13,'Historic Fee Rates'!$A$9:$A$36,0))</f>
        <v>135.08362386516842</v>
      </c>
      <c r="H13" s="856">
        <f>+INDEX('Historic Fee Rates'!I$9:I$36,MATCH('Graph Data'!$A13,'Historic Fee Rates'!$A$9:$A$36,0))</f>
        <v>196.5</v>
      </c>
      <c r="I13" s="856">
        <f>+INDEX('Historic Fee Rates'!J$9:J$36,MATCH('Graph Data'!$A13,'Historic Fee Rates'!$A$9:$A$36,0))</f>
        <v>237.5</v>
      </c>
      <c r="J13" s="856">
        <f>+INDEX('Historic Fee Rates'!K$9:K$36,MATCH('Graph Data'!$A13,'Historic Fee Rates'!$A$9:$A$36,0))</f>
        <v>187.6</v>
      </c>
      <c r="K13" s="856">
        <f>+INDEX('Historic Fee Rates'!L$9:L$36,MATCH('Graph Data'!$A13,'Historic Fee Rates'!$A$9:$A$36,0))</f>
        <v>182.20000000000005</v>
      </c>
      <c r="L13" s="856">
        <f>+INDEX('Historic Fee Rates'!M$9:M$36,MATCH('Graph Data'!$A13,'Historic Fee Rates'!$A$9:$A$36,0))</f>
        <v>181.9</v>
      </c>
    </row>
    <row r="14" spans="1:12" ht="15">
      <c r="A14" s="858" t="str">
        <f>+'Historic Fee Rates'!A21</f>
        <v>PET Bottles</v>
      </c>
      <c r="B14" s="856">
        <f>+INDEX('Historic Fee Rates'!C$9:C$36,MATCH('Graph Data'!$A14,'Historic Fee Rates'!$A$9:$A$36,0))</f>
        <v>96.1</v>
      </c>
      <c r="C14" s="856">
        <f>+INDEX('Historic Fee Rates'!D$9:D$36,MATCH('Graph Data'!$A14,'Historic Fee Rates'!$A$9:$A$36,0))</f>
        <v>139.07</v>
      </c>
      <c r="D14" s="856">
        <f>+INDEX('Historic Fee Rates'!E$9:E$36,MATCH('Graph Data'!$A14,'Historic Fee Rates'!$A$9:$A$36,0))</f>
        <v>135.55549560358926</v>
      </c>
      <c r="E14" s="856">
        <f>+INDEX('Historic Fee Rates'!F$9:F$36,MATCH('Graph Data'!$A14,'Historic Fee Rates'!$A$9:$A$36,0))</f>
        <v>116.44484070604007</v>
      </c>
      <c r="F14" s="856">
        <f>+INDEX('Historic Fee Rates'!G$9:G$36,MATCH('Graph Data'!$A14,'Historic Fee Rates'!$A$9:$A$36,0))</f>
        <v>112.37744395249348</v>
      </c>
      <c r="G14" s="856">
        <f>+INDEX('Historic Fee Rates'!H$9:H$36,MATCH('Graph Data'!$A14,'Historic Fee Rates'!$A$9:$A$36,0))</f>
        <v>124.84027705283846</v>
      </c>
      <c r="H14" s="856">
        <f>+INDEX('Historic Fee Rates'!I$9:I$36,MATCH('Graph Data'!$A14,'Historic Fee Rates'!$A$9:$A$36,0))</f>
        <v>129.8</v>
      </c>
      <c r="I14" s="856">
        <f>+INDEX('Historic Fee Rates'!J$9:J$36,MATCH('Graph Data'!$A14,'Historic Fee Rates'!$A$9:$A$36,0))</f>
        <v>137.8</v>
      </c>
      <c r="J14" s="856">
        <f>+INDEX('Historic Fee Rates'!K$9:K$36,MATCH('Graph Data'!$A14,'Historic Fee Rates'!$A$9:$A$36,0))</f>
        <v>162.4</v>
      </c>
      <c r="K14" s="856">
        <f>+INDEX('Historic Fee Rates'!L$9:L$36,MATCH('Graph Data'!$A14,'Historic Fee Rates'!$A$9:$A$36,0))</f>
        <v>147</v>
      </c>
      <c r="L14" s="856">
        <f>+INDEX('Historic Fee Rates'!M$9:M$36,MATCH('Graph Data'!$A14,'Historic Fee Rates'!$A$9:$A$36,0))</f>
        <v>140.2</v>
      </c>
    </row>
    <row r="15" spans="1:12" ht="15">
      <c r="A15" s="858" t="str">
        <f>+'Historic Fee Rates'!A22</f>
        <v>HDPE Bottles</v>
      </c>
      <c r="B15" s="856">
        <f>+INDEX('Historic Fee Rates'!C$9:C$36,MATCH('Graph Data'!$A15,'Historic Fee Rates'!$A$9:$A$36,0))</f>
        <v>96.1</v>
      </c>
      <c r="C15" s="856">
        <f>+INDEX('Historic Fee Rates'!D$9:D$36,MATCH('Graph Data'!$A15,'Historic Fee Rates'!$A$9:$A$36,0))</f>
        <v>139.07</v>
      </c>
      <c r="D15" s="856">
        <f>+INDEX('Historic Fee Rates'!E$9:E$36,MATCH('Graph Data'!$A15,'Historic Fee Rates'!$A$9:$A$36,0))</f>
        <v>135.55549560358926</v>
      </c>
      <c r="E15" s="856">
        <f>+INDEX('Historic Fee Rates'!F$9:F$36,MATCH('Graph Data'!$A15,'Historic Fee Rates'!$A$9:$A$36,0))</f>
        <v>99.28814165840889</v>
      </c>
      <c r="F15" s="856">
        <f>+INDEX('Historic Fee Rates'!G$9:G$36,MATCH('Graph Data'!$A15,'Historic Fee Rates'!$A$9:$A$36,0))</f>
        <v>111.34854100248793</v>
      </c>
      <c r="G15" s="856">
        <f>+INDEX('Historic Fee Rates'!H$9:H$36,MATCH('Graph Data'!$A15,'Historic Fee Rates'!$A$9:$A$36,0))</f>
        <v>113.71795639706075</v>
      </c>
      <c r="H15" s="856">
        <f>+INDEX('Historic Fee Rates'!I$9:I$36,MATCH('Graph Data'!$A15,'Historic Fee Rates'!$A$9:$A$36,0))</f>
        <v>124.9</v>
      </c>
      <c r="I15" s="856">
        <f>+INDEX('Historic Fee Rates'!J$9:J$36,MATCH('Graph Data'!$A15,'Historic Fee Rates'!$A$9:$A$36,0))</f>
        <v>132.7</v>
      </c>
      <c r="J15" s="856">
        <f>+INDEX('Historic Fee Rates'!K$9:K$36,MATCH('Graph Data'!$A15,'Historic Fee Rates'!$A$9:$A$36,0))</f>
        <v>136</v>
      </c>
      <c r="K15" s="856">
        <f>+INDEX('Historic Fee Rates'!L$9:L$36,MATCH('Graph Data'!$A15,'Historic Fee Rates'!$A$9:$A$36,0))</f>
        <v>135.2</v>
      </c>
      <c r="L15" s="856">
        <f>+INDEX('Historic Fee Rates'!M$9:M$36,MATCH('Graph Data'!$A15,'Historic Fee Rates'!$A$9:$A$36,0))</f>
        <v>126.2</v>
      </c>
    </row>
    <row r="16" spans="1:12" ht="15">
      <c r="A16" s="858" t="str">
        <f>+'Historic Fee Rates'!A23</f>
        <v>Plastic Film</v>
      </c>
      <c r="B16" s="856">
        <f>+INDEX('Historic Fee Rates'!C$9:C$36,MATCH('Graph Data'!$A16,'Historic Fee Rates'!$A$9:$A$36,0))</f>
        <v>96.1</v>
      </c>
      <c r="C16" s="856">
        <f>+INDEX('Historic Fee Rates'!D$9:D$36,MATCH('Graph Data'!$A16,'Historic Fee Rates'!$A$9:$A$36,0))</f>
        <v>139.07</v>
      </c>
      <c r="D16" s="856">
        <f>+INDEX('Historic Fee Rates'!E$9:E$36,MATCH('Graph Data'!$A16,'Historic Fee Rates'!$A$9:$A$36,0))</f>
        <v>135.55549560358926</v>
      </c>
      <c r="E16" s="856">
        <f>+INDEX('Historic Fee Rates'!F$9:F$36,MATCH('Graph Data'!$A16,'Historic Fee Rates'!$A$9:$A$36,0))</f>
        <v>147.20437670271855</v>
      </c>
      <c r="F16" s="856">
        <f>+INDEX('Historic Fee Rates'!G$9:G$36,MATCH('Graph Data'!$A16,'Historic Fee Rates'!$A$9:$A$36,0))</f>
        <v>184.48623410160064</v>
      </c>
      <c r="G16" s="856">
        <f>+INDEX('Historic Fee Rates'!H$9:H$36,MATCH('Graph Data'!$A16,'Historic Fee Rates'!$A$9:$A$36,0))</f>
        <v>190.26836732120478</v>
      </c>
      <c r="H16" s="856">
        <f>+INDEX('Historic Fee Rates'!I$9:I$36,MATCH('Graph Data'!$A16,'Historic Fee Rates'!$A$9:$A$36,0))</f>
        <v>246.5</v>
      </c>
      <c r="I16" s="856">
        <f>+INDEX('Historic Fee Rates'!J$9:J$36,MATCH('Graph Data'!$A16,'Historic Fee Rates'!$A$9:$A$36,0))</f>
        <v>281.6</v>
      </c>
      <c r="J16" s="856">
        <f>+INDEX('Historic Fee Rates'!K$9:K$36,MATCH('Graph Data'!$A16,'Historic Fee Rates'!$A$9:$A$36,0))</f>
        <v>272.3</v>
      </c>
      <c r="K16" s="856">
        <f>+INDEX('Historic Fee Rates'!L$9:L$36,MATCH('Graph Data'!$A16,'Historic Fee Rates'!$A$9:$A$36,0))</f>
        <v>232.70000000000005</v>
      </c>
      <c r="L16" s="856">
        <f>+INDEX('Historic Fee Rates'!M$9:M$36,MATCH('Graph Data'!$A16,'Historic Fee Rates'!$A$9:$A$36,0))</f>
        <v>225.40000000000003</v>
      </c>
    </row>
    <row r="17" spans="1:12" ht="15">
      <c r="A17" s="858" t="str">
        <f>+'Historic Fee Rates'!A24</f>
        <v>Plastic Laminates</v>
      </c>
      <c r="B17" s="856">
        <f>+INDEX('Historic Fee Rates'!C$9:C$36,MATCH('Graph Data'!$A17,'Historic Fee Rates'!$A$9:$A$36,0))</f>
        <v>96.1</v>
      </c>
      <c r="C17" s="856">
        <f>+INDEX('Historic Fee Rates'!D$9:D$36,MATCH('Graph Data'!$A17,'Historic Fee Rates'!$A$9:$A$36,0))</f>
        <v>139.07</v>
      </c>
      <c r="D17" s="856">
        <f>+INDEX('Historic Fee Rates'!E$9:E$36,MATCH('Graph Data'!$A17,'Historic Fee Rates'!$A$9:$A$36,0))</f>
        <v>135.55549560358926</v>
      </c>
      <c r="E17" s="856">
        <f>+INDEX('Historic Fee Rates'!F$9:F$36,MATCH('Graph Data'!$A17,'Historic Fee Rates'!$A$9:$A$36,0))</f>
        <v>147.20437670271855</v>
      </c>
      <c r="F17" s="856">
        <f>+INDEX('Historic Fee Rates'!G$9:G$36,MATCH('Graph Data'!$A17,'Historic Fee Rates'!$A$9:$A$36,0))</f>
        <v>184.48623410160064</v>
      </c>
      <c r="G17" s="856">
        <f>+INDEX('Historic Fee Rates'!H$9:H$36,MATCH('Graph Data'!$A17,'Historic Fee Rates'!$A$9:$A$36,0))</f>
        <v>190.26836732120478</v>
      </c>
      <c r="H17" s="856">
        <f>+INDEX('Historic Fee Rates'!I$9:I$36,MATCH('Graph Data'!$A17,'Historic Fee Rates'!$A$9:$A$36,0))</f>
        <v>246.5</v>
      </c>
      <c r="I17" s="856">
        <f>+INDEX('Historic Fee Rates'!J$9:J$36,MATCH('Graph Data'!$A17,'Historic Fee Rates'!$A$9:$A$36,0))</f>
        <v>281.6</v>
      </c>
      <c r="J17" s="856">
        <f>+INDEX('Historic Fee Rates'!K$9:K$36,MATCH('Graph Data'!$A17,'Historic Fee Rates'!$A$9:$A$36,0))</f>
        <v>272.3</v>
      </c>
      <c r="K17" s="856">
        <f>+INDEX('Historic Fee Rates'!L$9:L$36,MATCH('Graph Data'!$A17,'Historic Fee Rates'!$A$9:$A$36,0))</f>
        <v>232.70000000000005</v>
      </c>
      <c r="L17" s="856">
        <f>+INDEX('Historic Fee Rates'!M$9:M$36,MATCH('Graph Data'!$A17,'Historic Fee Rates'!$A$9:$A$36,0))</f>
        <v>225.40000000000003</v>
      </c>
    </row>
    <row r="18" spans="1:12" ht="15">
      <c r="A18" s="858" t="str">
        <f>+'Historic Fee Rates'!A25</f>
        <v>Polystyrene</v>
      </c>
      <c r="B18" s="856">
        <f>+INDEX('Historic Fee Rates'!C$9:C$36,MATCH('Graph Data'!$A18,'Historic Fee Rates'!$A$9:$A$36,0))</f>
        <v>96.1</v>
      </c>
      <c r="C18" s="856">
        <f>+INDEX('Historic Fee Rates'!D$9:D$36,MATCH('Graph Data'!$A18,'Historic Fee Rates'!$A$9:$A$36,0))</f>
        <v>139.07</v>
      </c>
      <c r="D18" s="856">
        <f>+INDEX('Historic Fee Rates'!E$9:E$36,MATCH('Graph Data'!$A18,'Historic Fee Rates'!$A$9:$A$36,0))</f>
        <v>135.55549560358926</v>
      </c>
      <c r="E18" s="856">
        <f>+INDEX('Historic Fee Rates'!F$9:F$36,MATCH('Graph Data'!$A18,'Historic Fee Rates'!$A$9:$A$36,0))</f>
        <v>147.20437670271855</v>
      </c>
      <c r="F18" s="856">
        <f>+INDEX('Historic Fee Rates'!G$9:G$36,MATCH('Graph Data'!$A18,'Historic Fee Rates'!$A$9:$A$36,0))</f>
        <v>184.48623410160064</v>
      </c>
      <c r="G18" s="856">
        <f>+INDEX('Historic Fee Rates'!H$9:H$36,MATCH('Graph Data'!$A18,'Historic Fee Rates'!$A$9:$A$36,0))</f>
        <v>190.26836732120478</v>
      </c>
      <c r="H18" s="856">
        <f>+INDEX('Historic Fee Rates'!I$9:I$36,MATCH('Graph Data'!$A18,'Historic Fee Rates'!$A$9:$A$36,0))</f>
        <v>246.5</v>
      </c>
      <c r="I18" s="856">
        <f>+INDEX('Historic Fee Rates'!J$9:J$36,MATCH('Graph Data'!$A18,'Historic Fee Rates'!$A$9:$A$36,0))</f>
        <v>281.6</v>
      </c>
      <c r="J18" s="856">
        <f>+INDEX('Historic Fee Rates'!K$9:K$36,MATCH('Graph Data'!$A18,'Historic Fee Rates'!$A$9:$A$36,0))</f>
        <v>272.3</v>
      </c>
      <c r="K18" s="856">
        <f>+INDEX('Historic Fee Rates'!L$9:L$36,MATCH('Graph Data'!$A18,'Historic Fee Rates'!$A$9:$A$36,0))</f>
        <v>232.70000000000005</v>
      </c>
      <c r="L18" s="856">
        <f>+INDEX('Historic Fee Rates'!M$9:M$36,MATCH('Graph Data'!$A18,'Historic Fee Rates'!$A$9:$A$36,0))</f>
        <v>225.40000000000003</v>
      </c>
    </row>
    <row r="19" spans="1:12" ht="15">
      <c r="A19" s="858" t="str">
        <f>+'Historic Fee Rates'!A26</f>
        <v>Other Plastics</v>
      </c>
      <c r="B19" s="856">
        <f>+INDEX('Historic Fee Rates'!C$9:C$36,MATCH('Graph Data'!$A19,'Historic Fee Rates'!$A$9:$A$36,0))</f>
        <v>96.1</v>
      </c>
      <c r="C19" s="856">
        <f>+INDEX('Historic Fee Rates'!D$9:D$36,MATCH('Graph Data'!$A19,'Historic Fee Rates'!$A$9:$A$36,0))</f>
        <v>139.07</v>
      </c>
      <c r="D19" s="856">
        <f>+INDEX('Historic Fee Rates'!E$9:E$36,MATCH('Graph Data'!$A19,'Historic Fee Rates'!$A$9:$A$36,0))</f>
        <v>135.55549560358926</v>
      </c>
      <c r="E19" s="856">
        <f>+INDEX('Historic Fee Rates'!F$9:F$36,MATCH('Graph Data'!$A19,'Historic Fee Rates'!$A$9:$A$36,0))</f>
        <v>147.20437670271855</v>
      </c>
      <c r="F19" s="856">
        <f>+INDEX('Historic Fee Rates'!G$9:G$36,MATCH('Graph Data'!$A19,'Historic Fee Rates'!$A$9:$A$36,0))</f>
        <v>184.48623410160064</v>
      </c>
      <c r="G19" s="856">
        <f>+INDEX('Historic Fee Rates'!H$9:H$36,MATCH('Graph Data'!$A19,'Historic Fee Rates'!$A$9:$A$36,0))</f>
        <v>190.26836732120478</v>
      </c>
      <c r="H19" s="856">
        <f>+INDEX('Historic Fee Rates'!I$9:I$36,MATCH('Graph Data'!$A19,'Historic Fee Rates'!$A$9:$A$36,0))</f>
        <v>246.5</v>
      </c>
      <c r="I19" s="856">
        <f>+INDEX('Historic Fee Rates'!J$9:J$36,MATCH('Graph Data'!$A19,'Historic Fee Rates'!$A$9:$A$36,0))</f>
        <v>281.6</v>
      </c>
      <c r="J19" s="856">
        <f>+INDEX('Historic Fee Rates'!K$9:K$36,MATCH('Graph Data'!$A19,'Historic Fee Rates'!$A$9:$A$36,0))</f>
        <v>293.217403265496</v>
      </c>
      <c r="K19" s="856">
        <f>+INDEX('Historic Fee Rates'!L$9:L$36,MATCH('Graph Data'!$A19,'Historic Fee Rates'!$A$9:$A$36,0))</f>
        <v>232.70000000000005</v>
      </c>
      <c r="L19" s="856">
        <f>+INDEX('Historic Fee Rates'!M$9:M$36,MATCH('Graph Data'!$A19,'Historic Fee Rates'!$A$9:$A$36,0))</f>
        <v>225.40000000000003</v>
      </c>
    </row>
    <row r="20" spans="1:12" ht="15">
      <c r="A20" s="858" t="str">
        <f>+'Historic Fee Rates'!A28</f>
        <v>Steel Food &amp; Beverage Cans</v>
      </c>
      <c r="B20" s="856">
        <f>+INDEX('Historic Fee Rates'!C$9:C$36,MATCH('Graph Data'!$A20,'Historic Fee Rates'!$A$9:$A$36,0))</f>
        <v>43.91</v>
      </c>
      <c r="C20" s="856">
        <f>+INDEX('Historic Fee Rates'!D$9:D$36,MATCH('Graph Data'!$A20,'Historic Fee Rates'!$A$9:$A$36,0))</f>
        <v>47.45</v>
      </c>
      <c r="D20" s="856">
        <f>+INDEX('Historic Fee Rates'!E$9:E$36,MATCH('Graph Data'!$A20,'Historic Fee Rates'!$A$9:$A$36,0))</f>
        <v>46.012677353665175</v>
      </c>
      <c r="E20" s="856">
        <f>+INDEX('Historic Fee Rates'!F$9:F$36,MATCH('Graph Data'!$A20,'Historic Fee Rates'!$A$9:$A$36,0))</f>
        <v>43.979181803223526</v>
      </c>
      <c r="F20" s="856">
        <f>+INDEX('Historic Fee Rates'!G$9:G$36,MATCH('Graph Data'!$A20,'Historic Fee Rates'!$A$9:$A$36,0))</f>
        <v>47.4363670769528</v>
      </c>
      <c r="G20" s="856">
        <f>+INDEX('Historic Fee Rates'!H$9:H$36,MATCH('Graph Data'!$A20,'Historic Fee Rates'!$A$9:$A$36,0))</f>
        <v>49.98391473422041</v>
      </c>
      <c r="H20" s="856">
        <f>+INDEX('Historic Fee Rates'!I$9:I$36,MATCH('Graph Data'!$A20,'Historic Fee Rates'!$A$9:$A$36,0))</f>
        <v>55.4</v>
      </c>
      <c r="I20" s="856">
        <f>+INDEX('Historic Fee Rates'!J$9:J$36,MATCH('Graph Data'!$A20,'Historic Fee Rates'!$A$9:$A$36,0))</f>
        <v>62.6</v>
      </c>
      <c r="J20" s="856">
        <f>+INDEX('Historic Fee Rates'!K$9:K$36,MATCH('Graph Data'!$A20,'Historic Fee Rates'!$A$9:$A$36,0))</f>
        <v>60.69999999999999</v>
      </c>
      <c r="K20" s="856">
        <f>+INDEX('Historic Fee Rates'!L$9:L$36,MATCH('Graph Data'!$A20,'Historic Fee Rates'!$A$9:$A$36,0))</f>
        <v>55.1</v>
      </c>
      <c r="L20" s="856">
        <f>+INDEX('Historic Fee Rates'!M$9:M$36,MATCH('Graph Data'!$A20,'Historic Fee Rates'!$A$9:$A$36,0))</f>
        <v>50.6</v>
      </c>
    </row>
    <row r="21" spans="1:12" ht="15">
      <c r="A21" s="858" t="str">
        <f>+'Historic Fee Rates'!A29</f>
        <v>Steel Aerosols</v>
      </c>
      <c r="B21" s="856">
        <f>+INDEX('Historic Fee Rates'!C$9:C$36,MATCH('Graph Data'!$A21,'Historic Fee Rates'!$A$9:$A$36,0))</f>
        <v>43.91</v>
      </c>
      <c r="C21" s="856">
        <f>+INDEX('Historic Fee Rates'!D$9:D$36,MATCH('Graph Data'!$A21,'Historic Fee Rates'!$A$9:$A$36,0))</f>
        <v>47.45</v>
      </c>
      <c r="D21" s="856">
        <f>+INDEX('Historic Fee Rates'!E$9:E$36,MATCH('Graph Data'!$A21,'Historic Fee Rates'!$A$9:$A$36,0))</f>
        <v>46.012677353665175</v>
      </c>
      <c r="E21" s="856">
        <f>+INDEX('Historic Fee Rates'!F$9:F$36,MATCH('Graph Data'!$A21,'Historic Fee Rates'!$A$9:$A$36,0))</f>
        <v>43.979181803223526</v>
      </c>
      <c r="F21" s="856">
        <f>+INDEX('Historic Fee Rates'!G$9:G$36,MATCH('Graph Data'!$A21,'Historic Fee Rates'!$A$9:$A$36,0))</f>
        <v>47.4363670769528</v>
      </c>
      <c r="G21" s="856">
        <f>+INDEX('Historic Fee Rates'!H$9:H$36,MATCH('Graph Data'!$A21,'Historic Fee Rates'!$A$9:$A$36,0))</f>
        <v>49.98391473422041</v>
      </c>
      <c r="H21" s="856">
        <f>+INDEX('Historic Fee Rates'!I$9:I$36,MATCH('Graph Data'!$A21,'Historic Fee Rates'!$A$9:$A$36,0))</f>
        <v>55.4</v>
      </c>
      <c r="I21" s="856">
        <f>+INDEX('Historic Fee Rates'!J$9:J$36,MATCH('Graph Data'!$A21,'Historic Fee Rates'!$A$9:$A$36,0))</f>
        <v>62.6</v>
      </c>
      <c r="J21" s="856">
        <f>+INDEX('Historic Fee Rates'!K$9:K$36,MATCH('Graph Data'!$A21,'Historic Fee Rates'!$A$9:$A$36,0))</f>
        <v>60.69999999999999</v>
      </c>
      <c r="K21" s="856">
        <f>+INDEX('Historic Fee Rates'!L$9:L$36,MATCH('Graph Data'!$A21,'Historic Fee Rates'!$A$9:$A$36,0))</f>
        <v>55.1</v>
      </c>
      <c r="L21" s="856">
        <f>+INDEX('Historic Fee Rates'!M$9:M$36,MATCH('Graph Data'!$A21,'Historic Fee Rates'!$A$9:$A$36,0))</f>
        <v>50.6</v>
      </c>
    </row>
    <row r="22" spans="1:12" ht="15">
      <c r="A22" s="858" t="str">
        <f>+'Historic Fee Rates'!A30</f>
        <v>Steel Paint Cans</v>
      </c>
      <c r="B22" s="856">
        <f>+INDEX('Historic Fee Rates'!C$9:C$36,MATCH('Graph Data'!$A22,'Historic Fee Rates'!$A$9:$A$36,0))</f>
        <v>43.91</v>
      </c>
      <c r="C22" s="856">
        <f>+INDEX('Historic Fee Rates'!D$9:D$36,MATCH('Graph Data'!$A22,'Historic Fee Rates'!$A$9:$A$36,0))</f>
        <v>47.45</v>
      </c>
      <c r="D22" s="856">
        <f>+INDEX('Historic Fee Rates'!E$9:E$36,MATCH('Graph Data'!$A22,'Historic Fee Rates'!$A$9:$A$36,0))</f>
        <v>46.012677353665175</v>
      </c>
      <c r="E22" s="856">
        <f>+INDEX('Historic Fee Rates'!F$9:F$36,MATCH('Graph Data'!$A22,'Historic Fee Rates'!$A$9:$A$36,0))</f>
        <v>43.979181803223526</v>
      </c>
      <c r="F22" s="856">
        <f>+INDEX('Historic Fee Rates'!G$9:G$36,MATCH('Graph Data'!$A22,'Historic Fee Rates'!$A$9:$A$36,0))</f>
        <v>47.4363670769528</v>
      </c>
      <c r="G22" s="856">
        <f>+INDEX('Historic Fee Rates'!H$9:H$36,MATCH('Graph Data'!$A22,'Historic Fee Rates'!$A$9:$A$36,0))</f>
        <v>49.98391473422041</v>
      </c>
      <c r="H22" s="856">
        <f>+INDEX('Historic Fee Rates'!I$9:I$36,MATCH('Graph Data'!$A22,'Historic Fee Rates'!$A$9:$A$36,0))</f>
        <v>55.4</v>
      </c>
      <c r="I22" s="856">
        <f>+INDEX('Historic Fee Rates'!J$9:J$36,MATCH('Graph Data'!$A22,'Historic Fee Rates'!$A$9:$A$36,0))</f>
        <v>62.6</v>
      </c>
      <c r="J22" s="856">
        <f>+INDEX('Historic Fee Rates'!K$9:K$36,MATCH('Graph Data'!$A22,'Historic Fee Rates'!$A$9:$A$36,0))</f>
        <v>60.69999999999999</v>
      </c>
      <c r="K22" s="856">
        <f>+INDEX('Historic Fee Rates'!L$9:L$36,MATCH('Graph Data'!$A22,'Historic Fee Rates'!$A$9:$A$36,0))</f>
        <v>55.1</v>
      </c>
      <c r="L22" s="856">
        <f>+INDEX('Historic Fee Rates'!M$9:M$36,MATCH('Graph Data'!$A22,'Historic Fee Rates'!$A$9:$A$36,0))</f>
        <v>50.6</v>
      </c>
    </row>
    <row r="23" spans="1:12" ht="15">
      <c r="A23" s="858" t="str">
        <f>+'Historic Fee Rates'!A32</f>
        <v>Aluminum Food &amp; Beverage Cans</v>
      </c>
      <c r="B23" s="856">
        <f>+INDEX('Historic Fee Rates'!C$9:C$36,MATCH('Graph Data'!$A23,'Historic Fee Rates'!$A$9:$A$36,0))</f>
        <v>-35.78</v>
      </c>
      <c r="C23" s="856">
        <f>+INDEX('Historic Fee Rates'!D$9:D$36,MATCH('Graph Data'!$A23,'Historic Fee Rates'!$A$9:$A$36,0))</f>
        <v>-10.93</v>
      </c>
      <c r="D23" s="856">
        <f>+INDEX('Historic Fee Rates'!E$9:E$36,MATCH('Graph Data'!$A23,'Historic Fee Rates'!$A$9:$A$36,0))</f>
        <v>-4.764947496477933</v>
      </c>
      <c r="E23" s="856">
        <f>+INDEX('Historic Fee Rates'!F$9:F$36,MATCH('Graph Data'!$A23,'Historic Fee Rates'!$A$9:$A$36,0))</f>
        <v>-18.631222727235745</v>
      </c>
      <c r="F23" s="856">
        <f>+INDEX('Historic Fee Rates'!G$9:G$36,MATCH('Graph Data'!$A23,'Historic Fee Rates'!$A$9:$A$36,0))</f>
        <v>-22.15278870253392</v>
      </c>
      <c r="G23" s="856">
        <f>+INDEX('Historic Fee Rates'!H$9:H$36,MATCH('Graph Data'!$A23,'Historic Fee Rates'!$A$9:$A$36,0))</f>
        <v>-29.836865039925833</v>
      </c>
      <c r="H23" s="856">
        <f>+INDEX('Historic Fee Rates'!I$9:I$36,MATCH('Graph Data'!$A23,'Historic Fee Rates'!$A$9:$A$36,0))</f>
        <v>-22</v>
      </c>
      <c r="I23" s="856">
        <f>+INDEX('Historic Fee Rates'!J$9:J$36,MATCH('Graph Data'!$A23,'Historic Fee Rates'!$A$9:$A$36,0))</f>
        <v>5.2</v>
      </c>
      <c r="J23" s="856">
        <f>+INDEX('Historic Fee Rates'!K$9:K$36,MATCH('Graph Data'!$A23,'Historic Fee Rates'!$A$9:$A$36,0))</f>
        <v>20</v>
      </c>
      <c r="K23" s="856">
        <f>+INDEX('Historic Fee Rates'!L$9:L$36,MATCH('Graph Data'!$A23,'Historic Fee Rates'!$A$9:$A$36,0))</f>
        <v>25.599999999999994</v>
      </c>
      <c r="L23" s="856">
        <f>+INDEX('Historic Fee Rates'!M$9:M$36,MATCH('Graph Data'!$A23,'Historic Fee Rates'!$A$9:$A$36,0))</f>
        <v>17.7</v>
      </c>
    </row>
    <row r="24" spans="1:12" ht="15">
      <c r="A24" s="858" t="str">
        <f>+'Historic Fee Rates'!A33</f>
        <v>Other Aluminum Packaging</v>
      </c>
      <c r="B24" s="856">
        <f>+INDEX('Historic Fee Rates'!C$9:C$36,MATCH('Graph Data'!$A24,'Historic Fee Rates'!$A$9:$A$36,0))</f>
        <v>16.18</v>
      </c>
      <c r="C24" s="856">
        <f>+INDEX('Historic Fee Rates'!D$9:D$36,MATCH('Graph Data'!$A24,'Historic Fee Rates'!$A$9:$A$36,0))</f>
        <v>55.02</v>
      </c>
      <c r="D24" s="856">
        <f>+INDEX('Historic Fee Rates'!E$9:E$36,MATCH('Graph Data'!$A24,'Historic Fee Rates'!$A$9:$A$36,0))</f>
        <v>35.76863819998456</v>
      </c>
      <c r="E24" s="856">
        <f>+INDEX('Historic Fee Rates'!F$9:F$36,MATCH('Graph Data'!$A24,'Historic Fee Rates'!$A$9:$A$36,0))</f>
        <v>58.626861865452575</v>
      </c>
      <c r="F24" s="856">
        <f>+INDEX('Historic Fee Rates'!G$9:G$36,MATCH('Graph Data'!$A24,'Historic Fee Rates'!$A$9:$A$36,0))</f>
        <v>50.95339436536893</v>
      </c>
      <c r="G24" s="856">
        <f>+INDEX('Historic Fee Rates'!H$9:H$36,MATCH('Graph Data'!$A24,'Historic Fee Rates'!$A$9:$A$36,0))</f>
        <v>59.2060316177282</v>
      </c>
      <c r="H24" s="856">
        <f>+INDEX('Historic Fee Rates'!I$9:I$36,MATCH('Graph Data'!$A24,'Historic Fee Rates'!$A$9:$A$36,0))</f>
        <v>13.9</v>
      </c>
      <c r="I24" s="856">
        <f>+INDEX('Historic Fee Rates'!J$9:J$36,MATCH('Graph Data'!$A24,'Historic Fee Rates'!$A$9:$A$36,0))</f>
        <v>75</v>
      </c>
      <c r="J24" s="856">
        <f>+INDEX('Historic Fee Rates'!K$9:K$36,MATCH('Graph Data'!$A24,'Historic Fee Rates'!$A$9:$A$36,0))</f>
        <v>84.1</v>
      </c>
      <c r="K24" s="856">
        <f>+INDEX('Historic Fee Rates'!L$9:L$36,MATCH('Graph Data'!$A24,'Historic Fee Rates'!$A$9:$A$36,0))</f>
        <v>69.7</v>
      </c>
      <c r="L24" s="856">
        <f>+INDEX('Historic Fee Rates'!M$9:M$36,MATCH('Graph Data'!$A24,'Historic Fee Rates'!$A$9:$A$36,0))</f>
        <v>65.69999999999999</v>
      </c>
    </row>
    <row r="25" spans="1:12" ht="15">
      <c r="A25" s="858" t="str">
        <f>+'Historic Fee Rates'!A35</f>
        <v>Clear Glass</v>
      </c>
      <c r="B25" s="856">
        <f>+INDEX('Historic Fee Rates'!C$9:C$36,MATCH('Graph Data'!$A25,'Historic Fee Rates'!$A$9:$A$36,0))</f>
        <v>36.82</v>
      </c>
      <c r="C25" s="856">
        <f>+INDEX('Historic Fee Rates'!D$9:D$36,MATCH('Graph Data'!$A25,'Historic Fee Rates'!$A$9:$A$36,0))</f>
        <v>37.61</v>
      </c>
      <c r="D25" s="856">
        <f>+INDEX('Historic Fee Rates'!E$9:E$36,MATCH('Graph Data'!$A25,'Historic Fee Rates'!$A$9:$A$36,0))</f>
        <v>33.09389591339549</v>
      </c>
      <c r="E25" s="856">
        <f>+INDEX('Historic Fee Rates'!F$9:F$36,MATCH('Graph Data'!$A25,'Historic Fee Rates'!$A$9:$A$36,0))</f>
        <v>35.9646386862942</v>
      </c>
      <c r="F25" s="856">
        <f>+INDEX('Historic Fee Rates'!G$9:G$36,MATCH('Graph Data'!$A25,'Historic Fee Rates'!$A$9:$A$36,0))</f>
        <v>35.2937202783169</v>
      </c>
      <c r="G25" s="856">
        <f>+INDEX('Historic Fee Rates'!H$9:H$36,MATCH('Graph Data'!$A25,'Historic Fee Rates'!$A$9:$A$36,0))</f>
        <v>34.61226032585347</v>
      </c>
      <c r="H25" s="856">
        <f>+INDEX('Historic Fee Rates'!I$9:I$36,MATCH('Graph Data'!$A25,'Historic Fee Rates'!$A$9:$A$36,0))</f>
        <v>38</v>
      </c>
      <c r="I25" s="856">
        <f>+INDEX('Historic Fee Rates'!J$9:J$36,MATCH('Graph Data'!$A25,'Historic Fee Rates'!$A$9:$A$36,0))</f>
        <v>36.9</v>
      </c>
      <c r="J25" s="856">
        <f>+INDEX('Historic Fee Rates'!K$9:K$36,MATCH('Graph Data'!$A25,'Historic Fee Rates'!$A$9:$A$36,0))</f>
        <v>32.699999999999996</v>
      </c>
      <c r="K25" s="856">
        <f>+INDEX('Historic Fee Rates'!L$9:L$36,MATCH('Graph Data'!$A25,'Historic Fee Rates'!$A$9:$A$36,0))</f>
        <v>28.4</v>
      </c>
      <c r="L25" s="856">
        <f>+INDEX('Historic Fee Rates'!M$9:M$36,MATCH('Graph Data'!$A25,'Historic Fee Rates'!$A$9:$A$36,0))</f>
        <v>27.1</v>
      </c>
    </row>
    <row r="26" spans="1:12" ht="15">
      <c r="A26" s="858" t="str">
        <f>+'Historic Fee Rates'!A36</f>
        <v>Coloured Glass</v>
      </c>
      <c r="B26" s="856">
        <f>+INDEX('Historic Fee Rates'!C$9:C$36,MATCH('Graph Data'!$A26,'Historic Fee Rates'!$A$9:$A$36,0))</f>
        <v>39.16</v>
      </c>
      <c r="C26" s="856">
        <f>+INDEX('Historic Fee Rates'!D$9:D$36,MATCH('Graph Data'!$A26,'Historic Fee Rates'!$A$9:$A$36,0))</f>
        <v>44.32</v>
      </c>
      <c r="D26" s="856">
        <f>+INDEX('Historic Fee Rates'!E$9:E$36,MATCH('Graph Data'!$A26,'Historic Fee Rates'!$A$9:$A$36,0))</f>
        <v>36.02415673609086</v>
      </c>
      <c r="E26" s="856">
        <f>+INDEX('Historic Fee Rates'!F$9:F$36,MATCH('Graph Data'!$A26,'Historic Fee Rates'!$A$9:$A$36,0))</f>
        <v>40.76751128855327</v>
      </c>
      <c r="F26" s="856">
        <f>+INDEX('Historic Fee Rates'!G$9:G$36,MATCH('Graph Data'!$A26,'Historic Fee Rates'!$A$9:$A$36,0))</f>
        <v>39.76028107810004</v>
      </c>
      <c r="G26" s="856">
        <f>+INDEX('Historic Fee Rates'!H$9:H$36,MATCH('Graph Data'!$A26,'Historic Fee Rates'!$A$9:$A$36,0))</f>
        <v>43.43895222844472</v>
      </c>
      <c r="H26" s="856">
        <f>+INDEX('Historic Fee Rates'!I$9:I$36,MATCH('Graph Data'!$A26,'Historic Fee Rates'!$A$9:$A$36,0))</f>
        <v>41</v>
      </c>
      <c r="I26" s="856">
        <f>+INDEX('Historic Fee Rates'!J$9:J$36,MATCH('Graph Data'!$A26,'Historic Fee Rates'!$A$9:$A$36,0))</f>
        <v>53.5</v>
      </c>
      <c r="J26" s="856">
        <f>+INDEX('Historic Fee Rates'!K$9:K$36,MATCH('Graph Data'!$A26,'Historic Fee Rates'!$A$9:$A$36,0))</f>
        <v>38.3</v>
      </c>
      <c r="K26" s="856">
        <f>+INDEX('Historic Fee Rates'!L$9:L$36,MATCH('Graph Data'!$A26,'Historic Fee Rates'!$A$9:$A$36,0))</f>
        <v>48.4</v>
      </c>
      <c r="L26" s="856">
        <f>+INDEX('Historic Fee Rates'!M$9:M$36,MATCH('Graph Data'!$A26,'Historic Fee Rates'!$A$9:$A$36,0))</f>
        <v>43.599999999999994</v>
      </c>
    </row>
    <row r="27" ht="15">
      <c r="A27" s="815"/>
    </row>
    <row r="28" ht="15">
      <c r="A28" s="815"/>
    </row>
  </sheetData>
  <sheetProtection password="D6C3" sheet="1"/>
  <printOptions/>
  <pageMargins left="0.7480314960629921" right="0.7480314960629921" top="0.984251968503937" bottom="0.984251968503937" header="0.5118110236220472" footer="0.5118110236220472"/>
  <pageSetup fitToHeight="1" fitToWidth="1" horizontalDpi="600" verticalDpi="600" orientation="landscape" scale="52" r:id="rId1"/>
  <headerFooter alignWithMargins="0">
    <oddFooter>&amp;L&amp;12Steward Fee-Setting&amp;R&amp;12Stewardship Ontario, 
November, 2013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Lantz</dc:creator>
  <cp:keywords/>
  <dc:description/>
  <cp:lastModifiedBy>Daniela Fernandez</cp:lastModifiedBy>
  <cp:lastPrinted>2013-11-11T20:41:43Z</cp:lastPrinted>
  <dcterms:created xsi:type="dcterms:W3CDTF">2002-10-29T15:27:24Z</dcterms:created>
  <dcterms:modified xsi:type="dcterms:W3CDTF">2013-11-11T20:41:48Z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2013_PIM_v4.xls</vt:lpwstr>
  </property>
</Properties>
</file>