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 codeName="{37E998C4-C9E5-D4B9-71C8-EB1FF731991C}"/>
  <workbookPr codeName="ThisWorkbook" autoCompressPictures="0"/>
  <bookViews>
    <workbookView xWindow="0" yWindow="1360" windowWidth="12120" windowHeight="6780" tabRatio="898" firstSheet="6" activeTab="6"/>
  </bookViews>
  <sheets>
    <sheet name="Parameters" sheetId="25" state="veryHidden" r:id="rId1"/>
    <sheet name="Inputs" sheetId="26" state="veryHidden" r:id="rId2"/>
    <sheet name="Sheet 1 Gen &amp; Rec" sheetId="1" state="veryHidden" r:id="rId3"/>
    <sheet name="Sheet 2 Gross &amp; Net Costs" sheetId="6" state="veryHidden" r:id="rId4"/>
    <sheet name="Sheet 3-2a" sheetId="34" state="veryHidden" r:id="rId5"/>
    <sheet name="Sheet 4-2a" sheetId="35" state="veryHidden" r:id="rId6"/>
    <sheet name="BB Fees" sheetId="37" r:id="rId7"/>
  </sheets>
  <definedNames>
    <definedName name="_xlnm.Print_Area" localSheetId="2">'Sheet 1 Gen &amp; Rec'!$A$1:$O$46</definedName>
    <definedName name="_xlnm.Print_Area" localSheetId="3">'Sheet 2 Gross &amp; Net Costs'!$A$1:$U$46</definedName>
    <definedName name="_xlnm.Print_Area" localSheetId="4">'Sheet 3-2a'!$A$1:$AK$43</definedName>
    <definedName name="_xlnm.Print_Area" localSheetId="5">'Sheet 4-2a'!$A$1:$I$39</definedName>
    <definedName name="_xlnm.Print_Titles" localSheetId="4">'Sheet 3-2a'!$A:$B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37" l="1"/>
  <c r="M39" i="37"/>
  <c r="L39" i="37"/>
  <c r="M38" i="37"/>
  <c r="L38" i="37"/>
  <c r="M36" i="37"/>
  <c r="L36" i="37"/>
  <c r="M35" i="37"/>
  <c r="L35" i="37"/>
  <c r="M33" i="37"/>
  <c r="L33" i="37"/>
  <c r="M32" i="37"/>
  <c r="L32" i="37"/>
  <c r="M31" i="37"/>
  <c r="L31" i="37"/>
  <c r="M29" i="37"/>
  <c r="L29" i="37"/>
  <c r="M28" i="37"/>
  <c r="L28" i="37"/>
  <c r="M27" i="37"/>
  <c r="L27" i="37"/>
  <c r="M26" i="37"/>
  <c r="L26" i="37"/>
  <c r="M25" i="37"/>
  <c r="L25" i="37"/>
  <c r="M24" i="37"/>
  <c r="L24" i="37"/>
  <c r="M22" i="37"/>
  <c r="L22" i="37"/>
  <c r="M21" i="37"/>
  <c r="L21" i="37"/>
  <c r="M20" i="37"/>
  <c r="L20" i="37"/>
  <c r="M19" i="37"/>
  <c r="L19" i="37"/>
  <c r="M18" i="37"/>
  <c r="L18" i="37"/>
  <c r="M16" i="37"/>
  <c r="L16" i="37"/>
  <c r="M15" i="37"/>
  <c r="L15" i="37"/>
  <c r="M14" i="37"/>
  <c r="L14" i="37"/>
  <c r="M13" i="37"/>
  <c r="L13" i="37"/>
  <c r="M12" i="37"/>
  <c r="L12" i="37"/>
  <c r="K6" i="34"/>
  <c r="G6" i="34"/>
  <c r="C6" i="34"/>
  <c r="M30" i="25"/>
  <c r="L11" i="35"/>
  <c r="L23" i="35"/>
  <c r="L27" i="35"/>
  <c r="L33" i="35"/>
  <c r="M12" i="1"/>
  <c r="M4" i="34"/>
  <c r="K4" i="34"/>
  <c r="D4" i="34"/>
  <c r="C4" i="34"/>
  <c r="L19" i="35"/>
  <c r="AA38" i="34"/>
  <c r="AA35" i="34"/>
  <c r="AG33" i="34"/>
  <c r="AA32" i="34"/>
  <c r="AG30" i="34"/>
  <c r="AA28" i="34"/>
  <c r="AG25" i="34"/>
  <c r="AA21" i="34"/>
  <c r="G32" i="6"/>
  <c r="G25" i="6"/>
  <c r="G19" i="6"/>
  <c r="G17" i="6"/>
  <c r="D36" i="6"/>
  <c r="D21" i="6"/>
  <c r="G11" i="6"/>
  <c r="G8" i="6"/>
  <c r="D11" i="6"/>
  <c r="S3" i="6"/>
  <c r="P4" i="6"/>
  <c r="N37" i="1"/>
  <c r="N34" i="1"/>
  <c r="N31" i="1"/>
  <c r="N27" i="1"/>
  <c r="N20" i="1"/>
  <c r="C36" i="1"/>
  <c r="E33" i="1"/>
  <c r="C33" i="6"/>
  <c r="E32" i="1"/>
  <c r="E30" i="1"/>
  <c r="C30" i="6"/>
  <c r="E29" i="1"/>
  <c r="C29" i="6"/>
  <c r="E28" i="1"/>
  <c r="C28" i="6"/>
  <c r="D28" i="6"/>
  <c r="E28" i="6"/>
  <c r="G29" i="34"/>
  <c r="C25" i="1"/>
  <c r="C26" i="34"/>
  <c r="E19" i="1"/>
  <c r="C19" i="6"/>
  <c r="H19" i="6"/>
  <c r="O20" i="34"/>
  <c r="E18" i="1"/>
  <c r="E17" i="1"/>
  <c r="C17" i="6"/>
  <c r="E16" i="1"/>
  <c r="C16" i="6"/>
  <c r="E15" i="1"/>
  <c r="C15" i="1"/>
  <c r="F15" i="1"/>
  <c r="K16" i="34"/>
  <c r="E10" i="1"/>
  <c r="C7" i="1"/>
  <c r="L7" i="1"/>
  <c r="E7" i="1"/>
  <c r="F7" i="1"/>
  <c r="K8" i="34"/>
  <c r="E36" i="1"/>
  <c r="E35" i="1"/>
  <c r="C35" i="6"/>
  <c r="D35" i="6"/>
  <c r="E35" i="6"/>
  <c r="C35" i="1"/>
  <c r="H35" i="1"/>
  <c r="C33" i="1"/>
  <c r="H33" i="1"/>
  <c r="C32" i="1"/>
  <c r="F32" i="1"/>
  <c r="K33" i="34"/>
  <c r="C30" i="1"/>
  <c r="C31" i="34"/>
  <c r="C29" i="1"/>
  <c r="H29" i="1"/>
  <c r="C30" i="34"/>
  <c r="C28" i="1"/>
  <c r="E26" i="1"/>
  <c r="C26" i="1"/>
  <c r="H26" i="1"/>
  <c r="E25" i="1"/>
  <c r="F25" i="1"/>
  <c r="K26" i="34"/>
  <c r="E24" i="1"/>
  <c r="C24" i="6"/>
  <c r="C24" i="1"/>
  <c r="L24" i="1"/>
  <c r="E23" i="1"/>
  <c r="C23" i="6"/>
  <c r="D23" i="6"/>
  <c r="E23" i="6"/>
  <c r="C23" i="1"/>
  <c r="E22" i="1"/>
  <c r="C22" i="6"/>
  <c r="C22" i="1"/>
  <c r="C23" i="34"/>
  <c r="E21" i="1"/>
  <c r="C21" i="1"/>
  <c r="C22" i="34"/>
  <c r="C19" i="1"/>
  <c r="F19" i="1"/>
  <c r="K20" i="34"/>
  <c r="H19" i="1"/>
  <c r="C18" i="1"/>
  <c r="L18" i="1"/>
  <c r="C17" i="1"/>
  <c r="C18" i="34"/>
  <c r="C16" i="1"/>
  <c r="L16" i="1"/>
  <c r="E11" i="1"/>
  <c r="C11" i="1"/>
  <c r="H11" i="1"/>
  <c r="C12" i="34"/>
  <c r="C10" i="1"/>
  <c r="E9" i="1"/>
  <c r="C9" i="1"/>
  <c r="H9" i="1"/>
  <c r="E8" i="1"/>
  <c r="C8" i="1"/>
  <c r="H8" i="1"/>
  <c r="AG23" i="34"/>
  <c r="AG20" i="34"/>
  <c r="AG11" i="34"/>
  <c r="AG9" i="34"/>
  <c r="X6" i="34"/>
  <c r="T6" i="34"/>
  <c r="R6" i="34"/>
  <c r="B38" i="25"/>
  <c r="U6" i="34"/>
  <c r="L37" i="35"/>
  <c r="L31" i="35"/>
  <c r="L26" i="35"/>
  <c r="L22" i="35"/>
  <c r="L17" i="35"/>
  <c r="L10" i="35"/>
  <c r="H14" i="25"/>
  <c r="C42" i="26"/>
  <c r="G23" i="6"/>
  <c r="D16" i="6"/>
  <c r="D24" i="6"/>
  <c r="E24" i="6"/>
  <c r="G25" i="34"/>
  <c r="D33" i="6"/>
  <c r="D19" i="6"/>
  <c r="D25" i="6"/>
  <c r="D30" i="6"/>
  <c r="D26" i="6"/>
  <c r="D15" i="6"/>
  <c r="D22" i="6"/>
  <c r="D29" i="6"/>
  <c r="D32" i="6"/>
  <c r="D18" i="6"/>
  <c r="D10" i="6"/>
  <c r="D8" i="6"/>
  <c r="D9" i="6"/>
  <c r="D17" i="6"/>
  <c r="D7" i="6"/>
  <c r="G36" i="6"/>
  <c r="G33" i="6"/>
  <c r="G9" i="6"/>
  <c r="G16" i="6"/>
  <c r="G21" i="6"/>
  <c r="G26" i="6"/>
  <c r="G22" i="6"/>
  <c r="G18" i="6"/>
  <c r="G24" i="6"/>
  <c r="G10" i="6"/>
  <c r="G15" i="6"/>
  <c r="G28" i="6"/>
  <c r="H28" i="6"/>
  <c r="G35" i="6"/>
  <c r="G29" i="6"/>
  <c r="G7" i="6"/>
  <c r="G30" i="6"/>
  <c r="L18" i="35"/>
  <c r="AG17" i="34"/>
  <c r="AG31" i="34"/>
  <c r="AG29" i="34"/>
  <c r="AG32" i="34"/>
  <c r="L12" i="35"/>
  <c r="L24" i="35"/>
  <c r="L29" i="35"/>
  <c r="V6" i="34"/>
  <c r="AG10" i="34"/>
  <c r="AG37" i="34"/>
  <c r="L34" i="35"/>
  <c r="L8" i="35"/>
  <c r="Y6" i="34"/>
  <c r="AG22" i="34"/>
  <c r="AG26" i="34"/>
  <c r="C20" i="34"/>
  <c r="W6" i="34"/>
  <c r="B42" i="26"/>
  <c r="L20" i="35"/>
  <c r="S6" i="34"/>
  <c r="AG8" i="34"/>
  <c r="E31" i="25"/>
  <c r="AG12" i="34"/>
  <c r="AG13" i="34"/>
  <c r="AG42" i="34"/>
  <c r="AG19" i="34"/>
  <c r="AG24" i="34"/>
  <c r="AG34" i="34"/>
  <c r="AG35" i="34"/>
  <c r="L9" i="35"/>
  <c r="L16" i="35"/>
  <c r="L25" i="35"/>
  <c r="L30" i="35"/>
  <c r="L36" i="35"/>
  <c r="AG27" i="34"/>
  <c r="AG16" i="34"/>
  <c r="AG36" i="34"/>
  <c r="AG18" i="34"/>
  <c r="R38" i="34"/>
  <c r="R42" i="34"/>
  <c r="L29" i="1"/>
  <c r="C34" i="34"/>
  <c r="C9" i="6"/>
  <c r="H9" i="6"/>
  <c r="O10" i="34"/>
  <c r="C25" i="34"/>
  <c r="C11" i="34"/>
  <c r="L9" i="1"/>
  <c r="H21" i="1"/>
  <c r="L11" i="1"/>
  <c r="C7" i="6"/>
  <c r="H7" i="6"/>
  <c r="O8" i="34"/>
  <c r="C18" i="6"/>
  <c r="E18" i="6"/>
  <c r="H25" i="1"/>
  <c r="C26" i="6"/>
  <c r="L30" i="1"/>
  <c r="C8" i="34"/>
  <c r="H7" i="1"/>
  <c r="F24" i="1"/>
  <c r="K25" i="34"/>
  <c r="C10" i="34"/>
  <c r="H26" i="6"/>
  <c r="O27" i="34"/>
  <c r="AG38" i="34"/>
  <c r="H29" i="6"/>
  <c r="O30" i="34"/>
  <c r="H28" i="1"/>
  <c r="L8" i="1"/>
  <c r="L25" i="1"/>
  <c r="L19" i="1"/>
  <c r="F18" i="1"/>
  <c r="E31" i="1"/>
  <c r="C19" i="34"/>
  <c r="L23" i="1"/>
  <c r="H30" i="1"/>
  <c r="H18" i="6"/>
  <c r="O19" i="34"/>
  <c r="C37" i="34"/>
  <c r="C9" i="34"/>
  <c r="C12" i="1"/>
  <c r="F17" i="1"/>
  <c r="K18" i="34"/>
  <c r="H32" i="1"/>
  <c r="C36" i="6"/>
  <c r="C29" i="34"/>
  <c r="L10" i="1"/>
  <c r="H15" i="1"/>
  <c r="H18" i="1"/>
  <c r="L33" i="1"/>
  <c r="AG21" i="34"/>
  <c r="H31" i="1"/>
  <c r="E36" i="6"/>
  <c r="G37" i="34"/>
  <c r="H36" i="6"/>
  <c r="O37" i="34"/>
  <c r="K18" i="6"/>
  <c r="G19" i="34"/>
  <c r="H16" i="6"/>
  <c r="O17" i="34"/>
  <c r="E16" i="6"/>
  <c r="H30" i="6"/>
  <c r="H31" i="6"/>
  <c r="O29" i="34"/>
  <c r="C33" i="34"/>
  <c r="H22" i="1"/>
  <c r="K36" i="6"/>
  <c r="J36" i="6"/>
  <c r="P36" i="6"/>
  <c r="C25" i="6"/>
  <c r="C34" i="1"/>
  <c r="F8" i="1"/>
  <c r="K9" i="34"/>
  <c r="K19" i="34"/>
  <c r="E9" i="6"/>
  <c r="G10" i="34"/>
  <c r="H24" i="1"/>
  <c r="J18" i="6"/>
  <c r="P18" i="6"/>
  <c r="F33" i="1"/>
  <c r="K34" i="34"/>
  <c r="L32" i="1"/>
  <c r="L34" i="1"/>
  <c r="L17" i="1"/>
  <c r="L35" i="1"/>
  <c r="E26" i="6"/>
  <c r="G27" i="34"/>
  <c r="C31" i="1"/>
  <c r="C32" i="34"/>
  <c r="C36" i="34"/>
  <c r="C15" i="6"/>
  <c r="H15" i="6"/>
  <c r="O16" i="34"/>
  <c r="H17" i="6"/>
  <c r="O18" i="34"/>
  <c r="O21" i="34"/>
  <c r="O31" i="34"/>
  <c r="F16" i="1"/>
  <c r="K17" i="34"/>
  <c r="K21" i="34"/>
  <c r="E7" i="6"/>
  <c r="G8" i="34"/>
  <c r="F9" i="1"/>
  <c r="K10" i="34"/>
  <c r="E29" i="6"/>
  <c r="G30" i="34"/>
  <c r="G36" i="34"/>
  <c r="E37" i="6"/>
  <c r="E17" i="6"/>
  <c r="K29" i="6"/>
  <c r="C35" i="34"/>
  <c r="C13" i="34"/>
  <c r="G24" i="34"/>
  <c r="E33" i="6"/>
  <c r="H33" i="6"/>
  <c r="O34" i="34"/>
  <c r="C16" i="34"/>
  <c r="C20" i="1"/>
  <c r="L15" i="1"/>
  <c r="L20" i="1"/>
  <c r="C21" i="6"/>
  <c r="E27" i="1"/>
  <c r="H22" i="6"/>
  <c r="O23" i="34"/>
  <c r="E22" i="6"/>
  <c r="H23" i="6"/>
  <c r="O24" i="34"/>
  <c r="C10" i="6"/>
  <c r="F10" i="1"/>
  <c r="K11" i="34"/>
  <c r="H10" i="1"/>
  <c r="C32" i="6"/>
  <c r="E34" i="1"/>
  <c r="F34" i="1"/>
  <c r="F36" i="1"/>
  <c r="K37" i="34"/>
  <c r="L36" i="1"/>
  <c r="H36" i="1"/>
  <c r="C37" i="1"/>
  <c r="H20" i="6"/>
  <c r="K28" i="6"/>
  <c r="H34" i="1"/>
  <c r="K7" i="6"/>
  <c r="K35" i="34"/>
  <c r="F30" i="1"/>
  <c r="K31" i="34"/>
  <c r="F29" i="1"/>
  <c r="K30" i="34"/>
  <c r="F21" i="1"/>
  <c r="K22" i="34"/>
  <c r="K26" i="6"/>
  <c r="L39" i="35"/>
  <c r="AG28" i="34"/>
  <c r="AG43" i="34"/>
  <c r="AG44" i="34"/>
  <c r="H24" i="6"/>
  <c r="O25" i="34"/>
  <c r="C31" i="6"/>
  <c r="K9" i="6"/>
  <c r="H35" i="6"/>
  <c r="C37" i="6"/>
  <c r="C8" i="6"/>
  <c r="E12" i="1"/>
  <c r="F11" i="1"/>
  <c r="K12" i="34"/>
  <c r="C11" i="6"/>
  <c r="C17" i="34"/>
  <c r="L21" i="1"/>
  <c r="C27" i="1"/>
  <c r="L22" i="1"/>
  <c r="F22" i="1"/>
  <c r="K23" i="34"/>
  <c r="F23" i="1"/>
  <c r="K24" i="34"/>
  <c r="H23" i="1"/>
  <c r="C24" i="34"/>
  <c r="C27" i="34"/>
  <c r="L26" i="1"/>
  <c r="F26" i="1"/>
  <c r="K27" i="34"/>
  <c r="F28" i="1"/>
  <c r="K29" i="34"/>
  <c r="L28" i="1"/>
  <c r="L31" i="1"/>
  <c r="N29" i="1"/>
  <c r="O29" i="1"/>
  <c r="F35" i="1"/>
  <c r="K36" i="34"/>
  <c r="E37" i="1"/>
  <c r="F37" i="1"/>
  <c r="E15" i="6"/>
  <c r="E20" i="1"/>
  <c r="H17" i="1"/>
  <c r="E19" i="6"/>
  <c r="E30" i="6"/>
  <c r="K24" i="6"/>
  <c r="O32" i="34"/>
  <c r="L12" i="1"/>
  <c r="M10" i="1"/>
  <c r="O10" i="1"/>
  <c r="H16" i="1"/>
  <c r="G31" i="6"/>
  <c r="H25" i="6"/>
  <c r="O26" i="34"/>
  <c r="E25" i="6"/>
  <c r="F31" i="1"/>
  <c r="F20" i="1"/>
  <c r="N28" i="1"/>
  <c r="O28" i="1"/>
  <c r="U29" i="34"/>
  <c r="L37" i="1"/>
  <c r="N35" i="1"/>
  <c r="O35" i="1"/>
  <c r="C20" i="6"/>
  <c r="G20" i="6"/>
  <c r="C12" i="6"/>
  <c r="N32" i="1"/>
  <c r="O32" i="1"/>
  <c r="Y33" i="34"/>
  <c r="N33" i="1"/>
  <c r="O33" i="1"/>
  <c r="K16" i="6"/>
  <c r="J16" i="6"/>
  <c r="P16" i="6"/>
  <c r="G17" i="34"/>
  <c r="V11" i="34"/>
  <c r="W11" i="34"/>
  <c r="X11" i="34"/>
  <c r="U11" i="34"/>
  <c r="Y11" i="34"/>
  <c r="V30" i="34"/>
  <c r="W30" i="34"/>
  <c r="U30" i="34"/>
  <c r="Y30" i="34"/>
  <c r="X30" i="34"/>
  <c r="C28" i="34"/>
  <c r="E11" i="6"/>
  <c r="H11" i="6"/>
  <c r="O12" i="34"/>
  <c r="F12" i="1"/>
  <c r="E41" i="1"/>
  <c r="J9" i="6"/>
  <c r="P9" i="6"/>
  <c r="J26" i="6"/>
  <c r="P26" i="6"/>
  <c r="J28" i="6"/>
  <c r="P28" i="6"/>
  <c r="H37" i="1"/>
  <c r="C34" i="6"/>
  <c r="E32" i="6"/>
  <c r="H32" i="6"/>
  <c r="K22" i="6"/>
  <c r="G23" i="34"/>
  <c r="G34" i="34"/>
  <c r="K33" i="6"/>
  <c r="D9" i="34"/>
  <c r="C42" i="34"/>
  <c r="D13" i="34"/>
  <c r="D42" i="34"/>
  <c r="D8" i="34"/>
  <c r="D12" i="34"/>
  <c r="D10" i="34"/>
  <c r="D11" i="34"/>
  <c r="J29" i="6"/>
  <c r="P29" i="6"/>
  <c r="G38" i="34"/>
  <c r="F27" i="1"/>
  <c r="D37" i="6"/>
  <c r="M9" i="1"/>
  <c r="O9" i="1"/>
  <c r="M11" i="1"/>
  <c r="O11" i="1"/>
  <c r="M8" i="1"/>
  <c r="O8" i="1"/>
  <c r="J24" i="6"/>
  <c r="P24" i="6"/>
  <c r="K30" i="6"/>
  <c r="G31" i="34"/>
  <c r="G32" i="34"/>
  <c r="G20" i="34"/>
  <c r="K19" i="6"/>
  <c r="K15" i="6"/>
  <c r="G16" i="34"/>
  <c r="E20" i="6"/>
  <c r="D20" i="6"/>
  <c r="K38" i="34"/>
  <c r="V29" i="34"/>
  <c r="Y29" i="34"/>
  <c r="K32" i="34"/>
  <c r="H27" i="1"/>
  <c r="H8" i="6"/>
  <c r="E8" i="6"/>
  <c r="H37" i="6"/>
  <c r="G37" i="6"/>
  <c r="O36" i="34"/>
  <c r="O38" i="34"/>
  <c r="K28" i="34"/>
  <c r="J7" i="6"/>
  <c r="P7" i="6"/>
  <c r="C38" i="34"/>
  <c r="E10" i="6"/>
  <c r="H10" i="6"/>
  <c r="O11" i="34"/>
  <c r="E21" i="6"/>
  <c r="H21" i="6"/>
  <c r="C27" i="6"/>
  <c r="C41" i="6"/>
  <c r="C39" i="6"/>
  <c r="C21" i="34"/>
  <c r="N19" i="1"/>
  <c r="O19" i="1"/>
  <c r="N18" i="1"/>
  <c r="O18" i="1"/>
  <c r="N15" i="1"/>
  <c r="O15" i="1"/>
  <c r="C41" i="1"/>
  <c r="D20" i="1"/>
  <c r="N17" i="1"/>
  <c r="O17" i="1"/>
  <c r="N16" i="1"/>
  <c r="O16" i="1"/>
  <c r="V33" i="34"/>
  <c r="X33" i="34"/>
  <c r="K17" i="6"/>
  <c r="G18" i="34"/>
  <c r="L27" i="1"/>
  <c r="N21" i="1"/>
  <c r="O21" i="1"/>
  <c r="H20" i="1"/>
  <c r="N30" i="1"/>
  <c r="O30" i="1"/>
  <c r="X29" i="34"/>
  <c r="W29" i="34"/>
  <c r="K23" i="6"/>
  <c r="M7" i="1"/>
  <c r="O7" i="1"/>
  <c r="E31" i="6"/>
  <c r="D31" i="6"/>
  <c r="K13" i="34"/>
  <c r="H12" i="1"/>
  <c r="K35" i="6"/>
  <c r="X34" i="34"/>
  <c r="X35" i="34"/>
  <c r="G26" i="34"/>
  <c r="K25" i="6"/>
  <c r="J25" i="6"/>
  <c r="P25" i="6"/>
  <c r="U33" i="34"/>
  <c r="U34" i="34"/>
  <c r="U35" i="34"/>
  <c r="AD11" i="34"/>
  <c r="N36" i="1"/>
  <c r="O36" i="1"/>
  <c r="W33" i="34"/>
  <c r="Y34" i="34"/>
  <c r="Y35" i="34"/>
  <c r="V34" i="34"/>
  <c r="V35" i="34"/>
  <c r="W34" i="34"/>
  <c r="K37" i="6"/>
  <c r="J35" i="6"/>
  <c r="P35" i="6"/>
  <c r="L13" i="34"/>
  <c r="L8" i="34"/>
  <c r="K42" i="34"/>
  <c r="L10" i="34"/>
  <c r="L9" i="34"/>
  <c r="V8" i="34"/>
  <c r="Y8" i="34"/>
  <c r="W8" i="34"/>
  <c r="U8" i="34"/>
  <c r="X8" i="34"/>
  <c r="X22" i="34"/>
  <c r="V22" i="34"/>
  <c r="U22" i="34"/>
  <c r="W22" i="34"/>
  <c r="Y22" i="34"/>
  <c r="J17" i="6"/>
  <c r="P17" i="6"/>
  <c r="AD33" i="34"/>
  <c r="H41" i="1"/>
  <c r="I20" i="1"/>
  <c r="J23" i="6"/>
  <c r="P23" i="6"/>
  <c r="V31" i="34"/>
  <c r="W31" i="34"/>
  <c r="Y31" i="34"/>
  <c r="Y32" i="34"/>
  <c r="U31" i="34"/>
  <c r="X31" i="34"/>
  <c r="D35" i="1"/>
  <c r="D24" i="1"/>
  <c r="D25" i="1"/>
  <c r="D29" i="1"/>
  <c r="D9" i="1"/>
  <c r="D11" i="1"/>
  <c r="C39" i="1"/>
  <c r="D39" i="1"/>
  <c r="D17" i="1"/>
  <c r="D10" i="1"/>
  <c r="D26" i="1"/>
  <c r="D19" i="1"/>
  <c r="D21" i="1"/>
  <c r="D30" i="1"/>
  <c r="D15" i="1"/>
  <c r="D32" i="1"/>
  <c r="D33" i="1"/>
  <c r="D16" i="1"/>
  <c r="D41" i="1"/>
  <c r="D7" i="1"/>
  <c r="D8" i="1"/>
  <c r="D18" i="1"/>
  <c r="D34" i="1"/>
  <c r="D12" i="1"/>
  <c r="D36" i="1"/>
  <c r="D22" i="1"/>
  <c r="D23" i="1"/>
  <c r="D31" i="1"/>
  <c r="D28" i="1"/>
  <c r="X19" i="34"/>
  <c r="U19" i="34"/>
  <c r="Y19" i="34"/>
  <c r="V19" i="34"/>
  <c r="W19" i="34"/>
  <c r="C43" i="34"/>
  <c r="C44" i="34"/>
  <c r="G22" i="34"/>
  <c r="K21" i="6"/>
  <c r="E27" i="6"/>
  <c r="D27" i="6"/>
  <c r="V36" i="34"/>
  <c r="Y36" i="34"/>
  <c r="W36" i="34"/>
  <c r="X36" i="34"/>
  <c r="U36" i="34"/>
  <c r="O9" i="34"/>
  <c r="H12" i="6"/>
  <c r="K20" i="6"/>
  <c r="J15" i="6"/>
  <c r="P15" i="6"/>
  <c r="J30" i="6"/>
  <c r="P30" i="6"/>
  <c r="P31" i="6"/>
  <c r="V9" i="34"/>
  <c r="U9" i="34"/>
  <c r="X9" i="34"/>
  <c r="W9" i="34"/>
  <c r="Y9" i="34"/>
  <c r="X10" i="34"/>
  <c r="V10" i="34"/>
  <c r="W10" i="34"/>
  <c r="Y10" i="34"/>
  <c r="U10" i="34"/>
  <c r="J22" i="6"/>
  <c r="P22" i="6"/>
  <c r="G33" i="34"/>
  <c r="K32" i="6"/>
  <c r="E34" i="6"/>
  <c r="D34" i="6"/>
  <c r="E39" i="1"/>
  <c r="F39" i="1"/>
  <c r="F41" i="1"/>
  <c r="G12" i="34"/>
  <c r="K11" i="6"/>
  <c r="W32" i="34"/>
  <c r="L12" i="34"/>
  <c r="X32" i="34"/>
  <c r="D37" i="1"/>
  <c r="L41" i="1"/>
  <c r="L11" i="34"/>
  <c r="N22" i="1"/>
  <c r="O22" i="1"/>
  <c r="N24" i="1"/>
  <c r="O24" i="1"/>
  <c r="D27" i="1"/>
  <c r="Y17" i="34"/>
  <c r="X17" i="34"/>
  <c r="U17" i="34"/>
  <c r="W17" i="34"/>
  <c r="V17" i="34"/>
  <c r="V18" i="34"/>
  <c r="X18" i="34"/>
  <c r="Y18" i="34"/>
  <c r="W18" i="34"/>
  <c r="U18" i="34"/>
  <c r="U16" i="34"/>
  <c r="Y16" i="34"/>
  <c r="Y20" i="34"/>
  <c r="Y21" i="34"/>
  <c r="X16" i="34"/>
  <c r="W16" i="34"/>
  <c r="V16" i="34"/>
  <c r="V20" i="34"/>
  <c r="U20" i="34"/>
  <c r="W20" i="34"/>
  <c r="X20" i="34"/>
  <c r="O22" i="34"/>
  <c r="O28" i="34"/>
  <c r="H27" i="6"/>
  <c r="G27" i="6"/>
  <c r="G11" i="34"/>
  <c r="K10" i="6"/>
  <c r="C40" i="34"/>
  <c r="D38" i="34"/>
  <c r="G9" i="34"/>
  <c r="K8" i="6"/>
  <c r="E12" i="6"/>
  <c r="K40" i="34"/>
  <c r="L28" i="34"/>
  <c r="G21" i="34"/>
  <c r="J19" i="6"/>
  <c r="P19" i="6"/>
  <c r="X12" i="34"/>
  <c r="W12" i="34"/>
  <c r="Y12" i="34"/>
  <c r="V12" i="34"/>
  <c r="U12" i="34"/>
  <c r="J33" i="6"/>
  <c r="P33" i="6"/>
  <c r="O33" i="34"/>
  <c r="O35" i="34"/>
  <c r="O40" i="34"/>
  <c r="H34" i="6"/>
  <c r="G34" i="6"/>
  <c r="I27" i="1"/>
  <c r="L32" i="34"/>
  <c r="V32" i="34"/>
  <c r="K31" i="6"/>
  <c r="N23" i="1"/>
  <c r="O23" i="1"/>
  <c r="N26" i="1"/>
  <c r="O26" i="1"/>
  <c r="N25" i="1"/>
  <c r="O25" i="1"/>
  <c r="AD30" i="34"/>
  <c r="AD29" i="34"/>
  <c r="Y37" i="34"/>
  <c r="Y38" i="34"/>
  <c r="V37" i="34"/>
  <c r="U37" i="34"/>
  <c r="W37" i="34"/>
  <c r="X37" i="34"/>
  <c r="AD37" i="34"/>
  <c r="V38" i="34"/>
  <c r="AD34" i="34"/>
  <c r="AD35" i="34"/>
  <c r="L38" i="34"/>
  <c r="W21" i="34"/>
  <c r="AD18" i="34"/>
  <c r="X38" i="34"/>
  <c r="I37" i="1"/>
  <c r="W38" i="34"/>
  <c r="W35" i="34"/>
  <c r="V27" i="34"/>
  <c r="W27" i="34"/>
  <c r="Y27" i="34"/>
  <c r="U27" i="34"/>
  <c r="X27" i="34"/>
  <c r="J31" i="6"/>
  <c r="K12" i="6"/>
  <c r="M8" i="6"/>
  <c r="J8" i="6"/>
  <c r="P8" i="6"/>
  <c r="M10" i="6"/>
  <c r="J10" i="6"/>
  <c r="P10" i="6"/>
  <c r="M11" i="6"/>
  <c r="J11" i="6"/>
  <c r="P11" i="6"/>
  <c r="K34" i="6"/>
  <c r="J32" i="6"/>
  <c r="P32" i="6"/>
  <c r="P20" i="6"/>
  <c r="O13" i="34"/>
  <c r="O42" i="34"/>
  <c r="G12" i="6"/>
  <c r="H41" i="6"/>
  <c r="G28" i="34"/>
  <c r="H39" i="1"/>
  <c r="I39" i="1"/>
  <c r="I35" i="1"/>
  <c r="I29" i="1"/>
  <c r="I28" i="1"/>
  <c r="I9" i="1"/>
  <c r="I30" i="1"/>
  <c r="I19" i="1"/>
  <c r="I22" i="1"/>
  <c r="I32" i="1"/>
  <c r="I41" i="1"/>
  <c r="I21" i="1"/>
  <c r="I11" i="1"/>
  <c r="I33" i="1"/>
  <c r="I7" i="1"/>
  <c r="I25" i="1"/>
  <c r="I24" i="1"/>
  <c r="I15" i="1"/>
  <c r="I18" i="1"/>
  <c r="I31" i="1"/>
  <c r="I26" i="1"/>
  <c r="I8" i="1"/>
  <c r="I36" i="1"/>
  <c r="I16" i="1"/>
  <c r="I17" i="1"/>
  <c r="I23" i="1"/>
  <c r="I34" i="1"/>
  <c r="I10" i="1"/>
  <c r="L42" i="34"/>
  <c r="J37" i="6"/>
  <c r="V26" i="34"/>
  <c r="X26" i="34"/>
  <c r="W26" i="34"/>
  <c r="U26" i="34"/>
  <c r="Y26" i="34"/>
  <c r="W24" i="34"/>
  <c r="W23" i="34"/>
  <c r="W25" i="34"/>
  <c r="W28" i="34"/>
  <c r="W13" i="34"/>
  <c r="W42" i="34"/>
  <c r="U24" i="34"/>
  <c r="V24" i="34"/>
  <c r="X24" i="34"/>
  <c r="Y24" i="34"/>
  <c r="L16" i="34"/>
  <c r="L25" i="34"/>
  <c r="L20" i="34"/>
  <c r="L19" i="34"/>
  <c r="L26" i="34"/>
  <c r="K43" i="34"/>
  <c r="L33" i="34"/>
  <c r="L17" i="34"/>
  <c r="L34" i="34"/>
  <c r="L18" i="34"/>
  <c r="L21" i="34"/>
  <c r="L27" i="34"/>
  <c r="L23" i="34"/>
  <c r="L35" i="34"/>
  <c r="L37" i="34"/>
  <c r="L22" i="34"/>
  <c r="L24" i="34"/>
  <c r="L30" i="34"/>
  <c r="L36" i="34"/>
  <c r="L29" i="34"/>
  <c r="L31" i="34"/>
  <c r="E41" i="6"/>
  <c r="D12" i="6"/>
  <c r="G13" i="34"/>
  <c r="H11" i="34"/>
  <c r="H9" i="34"/>
  <c r="D40" i="34"/>
  <c r="D20" i="34"/>
  <c r="D30" i="34"/>
  <c r="D19" i="34"/>
  <c r="D18" i="34"/>
  <c r="D31" i="34"/>
  <c r="D37" i="34"/>
  <c r="D29" i="34"/>
  <c r="D36" i="34"/>
  <c r="D25" i="34"/>
  <c r="D26" i="34"/>
  <c r="D34" i="34"/>
  <c r="D33" i="34"/>
  <c r="D22" i="34"/>
  <c r="D23" i="34"/>
  <c r="D24" i="34"/>
  <c r="D16" i="34"/>
  <c r="D35" i="34"/>
  <c r="D27" i="34"/>
  <c r="D32" i="34"/>
  <c r="D17" i="34"/>
  <c r="U21" i="34"/>
  <c r="AD16" i="34"/>
  <c r="Y25" i="34"/>
  <c r="U25" i="34"/>
  <c r="X25" i="34"/>
  <c r="V25" i="34"/>
  <c r="V23" i="34"/>
  <c r="V28" i="34"/>
  <c r="V21" i="34"/>
  <c r="V13" i="34"/>
  <c r="V42" i="34"/>
  <c r="U23" i="34"/>
  <c r="U28" i="34"/>
  <c r="Y23" i="34"/>
  <c r="X23" i="34"/>
  <c r="X28" i="34"/>
  <c r="X21" i="34"/>
  <c r="X13" i="34"/>
  <c r="X42" i="34"/>
  <c r="G35" i="34"/>
  <c r="J20" i="6"/>
  <c r="U38" i="34"/>
  <c r="AD36" i="34"/>
  <c r="K27" i="6"/>
  <c r="J21" i="6"/>
  <c r="P21" i="6"/>
  <c r="AD22" i="34"/>
  <c r="U13" i="34"/>
  <c r="AD8" i="34"/>
  <c r="P37" i="6"/>
  <c r="AD20" i="34"/>
  <c r="Y13" i="34"/>
  <c r="K44" i="34"/>
  <c r="AD12" i="34"/>
  <c r="O43" i="34"/>
  <c r="O47" i="34"/>
  <c r="D28" i="34"/>
  <c r="AD10" i="34"/>
  <c r="AD9" i="34"/>
  <c r="D21" i="34"/>
  <c r="AD31" i="34"/>
  <c r="AD32" i="34"/>
  <c r="I12" i="1"/>
  <c r="Y28" i="34"/>
  <c r="Y42" i="34"/>
  <c r="O41" i="1"/>
  <c r="U32" i="34"/>
  <c r="U42" i="34"/>
  <c r="H12" i="34"/>
  <c r="AD38" i="34"/>
  <c r="D43" i="34"/>
  <c r="P27" i="6"/>
  <c r="G40" i="34"/>
  <c r="E39" i="6"/>
  <c r="D41" i="6"/>
  <c r="H44" i="6"/>
  <c r="H45" i="6"/>
  <c r="F12" i="25"/>
  <c r="H39" i="6"/>
  <c r="G39" i="6"/>
  <c r="G41" i="6"/>
  <c r="O44" i="34"/>
  <c r="O46" i="34"/>
  <c r="P34" i="6"/>
  <c r="K41" i="6"/>
  <c r="L34" i="6"/>
  <c r="J12" i="6"/>
  <c r="M9" i="6"/>
  <c r="M7" i="6"/>
  <c r="AD13" i="34"/>
  <c r="AD23" i="34"/>
  <c r="H28" i="34"/>
  <c r="J27" i="6"/>
  <c r="L27" i="6"/>
  <c r="H13" i="34"/>
  <c r="H8" i="34"/>
  <c r="G42" i="34"/>
  <c r="H10" i="34"/>
  <c r="L43" i="34"/>
  <c r="J34" i="6"/>
  <c r="P12" i="6"/>
  <c r="R11" i="6"/>
  <c r="L44" i="34"/>
  <c r="G43" i="34"/>
  <c r="H42" i="34"/>
  <c r="J41" i="6"/>
  <c r="L16" i="6"/>
  <c r="L18" i="6"/>
  <c r="L36" i="6"/>
  <c r="K43" i="6"/>
  <c r="B7" i="25"/>
  <c r="B9" i="25"/>
  <c r="K39" i="6"/>
  <c r="K45" i="6"/>
  <c r="L9" i="6"/>
  <c r="L26" i="6"/>
  <c r="L28" i="6"/>
  <c r="L25" i="6"/>
  <c r="L7" i="6"/>
  <c r="L29" i="6"/>
  <c r="L24" i="6"/>
  <c r="L35" i="6"/>
  <c r="L23" i="6"/>
  <c r="L30" i="6"/>
  <c r="L17" i="6"/>
  <c r="L15" i="6"/>
  <c r="L22" i="6"/>
  <c r="L19" i="6"/>
  <c r="L33" i="6"/>
  <c r="L31" i="6"/>
  <c r="L37" i="6"/>
  <c r="L20" i="6"/>
  <c r="L8" i="6"/>
  <c r="L10" i="6"/>
  <c r="L11" i="6"/>
  <c r="L32" i="6"/>
  <c r="L21" i="6"/>
  <c r="F14" i="25"/>
  <c r="H17" i="34"/>
  <c r="H29" i="34"/>
  <c r="H26" i="34"/>
  <c r="H27" i="34"/>
  <c r="H25" i="34"/>
  <c r="H19" i="34"/>
  <c r="H37" i="34"/>
  <c r="H36" i="34"/>
  <c r="H24" i="34"/>
  <c r="H30" i="34"/>
  <c r="H18" i="34"/>
  <c r="H34" i="34"/>
  <c r="H16" i="34"/>
  <c r="H38" i="34"/>
  <c r="H31" i="34"/>
  <c r="H23" i="34"/>
  <c r="H32" i="34"/>
  <c r="H20" i="34"/>
  <c r="H22" i="34"/>
  <c r="H33" i="34"/>
  <c r="H21" i="34"/>
  <c r="G44" i="34"/>
  <c r="P41" i="6"/>
  <c r="Q34" i="6"/>
  <c r="R12" i="6"/>
  <c r="R9" i="6"/>
  <c r="R7" i="6"/>
  <c r="D39" i="6"/>
  <c r="E44" i="6"/>
  <c r="R8" i="6"/>
  <c r="R10" i="6"/>
  <c r="M12" i="6"/>
  <c r="L12" i="6"/>
  <c r="H35" i="34"/>
  <c r="Q12" i="6"/>
  <c r="Q27" i="6"/>
  <c r="H40" i="34"/>
  <c r="I42" i="34"/>
  <c r="E42" i="34"/>
  <c r="M42" i="34"/>
  <c r="L39" i="6"/>
  <c r="J39" i="6"/>
  <c r="N16" i="6"/>
  <c r="N18" i="6"/>
  <c r="N36" i="6"/>
  <c r="N25" i="6"/>
  <c r="N29" i="6"/>
  <c r="N24" i="6"/>
  <c r="N26" i="6"/>
  <c r="N28" i="6"/>
  <c r="N17" i="6"/>
  <c r="N15" i="6"/>
  <c r="N19" i="6"/>
  <c r="N33" i="6"/>
  <c r="N35" i="6"/>
  <c r="N23" i="6"/>
  <c r="N30" i="6"/>
  <c r="N22" i="6"/>
  <c r="N32" i="6"/>
  <c r="N21" i="6"/>
  <c r="N31" i="6"/>
  <c r="N37" i="6"/>
  <c r="N20" i="6"/>
  <c r="N27" i="6"/>
  <c r="N34" i="6"/>
  <c r="Q41" i="6"/>
  <c r="P39" i="6"/>
  <c r="Q36" i="6"/>
  <c r="Q18" i="6"/>
  <c r="Q16" i="6"/>
  <c r="Q26" i="6"/>
  <c r="Q29" i="6"/>
  <c r="Q7" i="6"/>
  <c r="Q25" i="6"/>
  <c r="Q28" i="6"/>
  <c r="Q24" i="6"/>
  <c r="Q9" i="6"/>
  <c r="Q33" i="6"/>
  <c r="Q19" i="6"/>
  <c r="Q23" i="6"/>
  <c r="Q35" i="6"/>
  <c r="Q31" i="6"/>
  <c r="Q15" i="6"/>
  <c r="Q17" i="6"/>
  <c r="Q22" i="6"/>
  <c r="Q30" i="6"/>
  <c r="Q21" i="6"/>
  <c r="Q11" i="6"/>
  <c r="Q37" i="6"/>
  <c r="Q20" i="6"/>
  <c r="Q32" i="6"/>
  <c r="Q10" i="6"/>
  <c r="Q8" i="6"/>
  <c r="H43" i="34"/>
  <c r="B14" i="25"/>
  <c r="B15" i="25"/>
  <c r="L41" i="6"/>
  <c r="F15" i="25"/>
  <c r="E43" i="34"/>
  <c r="M43" i="34"/>
  <c r="I43" i="34"/>
  <c r="S18" i="6"/>
  <c r="S36" i="6"/>
  <c r="S16" i="6"/>
  <c r="S25" i="6"/>
  <c r="S28" i="6"/>
  <c r="S24" i="6"/>
  <c r="S26" i="6"/>
  <c r="S29" i="6"/>
  <c r="S31" i="6"/>
  <c r="S15" i="6"/>
  <c r="S17" i="6"/>
  <c r="S22" i="6"/>
  <c r="S30" i="6"/>
  <c r="S33" i="6"/>
  <c r="S19" i="6"/>
  <c r="S23" i="6"/>
  <c r="S35" i="6"/>
  <c r="S32" i="6"/>
  <c r="S21" i="6"/>
  <c r="S37" i="6"/>
  <c r="S20" i="6"/>
  <c r="S27" i="6"/>
  <c r="S34" i="6"/>
  <c r="I44" i="34"/>
  <c r="I11" i="34"/>
  <c r="J11" i="34"/>
  <c r="I9" i="34"/>
  <c r="J9" i="34"/>
  <c r="I12" i="34"/>
  <c r="J12" i="34"/>
  <c r="I8" i="34"/>
  <c r="J8" i="34"/>
  <c r="I13" i="34"/>
  <c r="J13" i="34"/>
  <c r="I10" i="34"/>
  <c r="J10" i="34"/>
  <c r="F16" i="25"/>
  <c r="M44" i="34"/>
  <c r="M13" i="34"/>
  <c r="N13" i="34"/>
  <c r="M9" i="34"/>
  <c r="M8" i="34"/>
  <c r="M11" i="34"/>
  <c r="M12" i="34"/>
  <c r="M10" i="34"/>
  <c r="E44" i="34"/>
  <c r="E12" i="34"/>
  <c r="F12" i="34"/>
  <c r="E8" i="34"/>
  <c r="E11" i="34"/>
  <c r="F11" i="34"/>
  <c r="E9" i="34"/>
  <c r="F9" i="34"/>
  <c r="E10" i="34"/>
  <c r="F10" i="34"/>
  <c r="N39" i="6"/>
  <c r="N12" i="34"/>
  <c r="P12" i="34"/>
  <c r="N8" i="34"/>
  <c r="P8" i="34"/>
  <c r="E13" i="34"/>
  <c r="F8" i="34"/>
  <c r="P10" i="34"/>
  <c r="N10" i="34"/>
  <c r="N11" i="34"/>
  <c r="P11" i="34"/>
  <c r="N9" i="34"/>
  <c r="P9" i="34"/>
  <c r="I45" i="34"/>
  <c r="I28" i="34"/>
  <c r="J28" i="34"/>
  <c r="I38" i="34"/>
  <c r="I21" i="34"/>
  <c r="J21" i="34"/>
  <c r="I35" i="34"/>
  <c r="J35" i="34"/>
  <c r="I20" i="34"/>
  <c r="J20" i="34"/>
  <c r="I34" i="34"/>
  <c r="J34" i="34"/>
  <c r="I36" i="34"/>
  <c r="J36" i="34"/>
  <c r="I24" i="34"/>
  <c r="J24" i="34"/>
  <c r="I33" i="34"/>
  <c r="J33" i="34"/>
  <c r="I23" i="34"/>
  <c r="J23" i="34"/>
  <c r="I30" i="34"/>
  <c r="J30" i="34"/>
  <c r="I19" i="34"/>
  <c r="J19" i="34"/>
  <c r="I29" i="34"/>
  <c r="J29" i="34"/>
  <c r="I22" i="34"/>
  <c r="J22" i="34"/>
  <c r="I31" i="34"/>
  <c r="J31" i="34"/>
  <c r="I18" i="34"/>
  <c r="J18" i="34"/>
  <c r="I37" i="34"/>
  <c r="J37" i="34"/>
  <c r="I26" i="34"/>
  <c r="J26" i="34"/>
  <c r="I27" i="34"/>
  <c r="J27" i="34"/>
  <c r="I32" i="34"/>
  <c r="J32" i="34"/>
  <c r="I16" i="34"/>
  <c r="J16" i="34"/>
  <c r="I25" i="34"/>
  <c r="J25" i="34"/>
  <c r="I17" i="34"/>
  <c r="J17" i="34"/>
  <c r="E45" i="34"/>
  <c r="E38" i="34"/>
  <c r="E21" i="34"/>
  <c r="F21" i="34"/>
  <c r="E35" i="34"/>
  <c r="F35" i="34"/>
  <c r="E22" i="34"/>
  <c r="F22" i="34"/>
  <c r="E25" i="34"/>
  <c r="F25" i="34"/>
  <c r="E31" i="34"/>
  <c r="F31" i="34"/>
  <c r="E20" i="34"/>
  <c r="F20" i="34"/>
  <c r="E17" i="34"/>
  <c r="F17" i="34"/>
  <c r="E16" i="34"/>
  <c r="F16" i="34"/>
  <c r="E33" i="34"/>
  <c r="F33" i="34"/>
  <c r="E36" i="34"/>
  <c r="F36" i="34"/>
  <c r="E18" i="34"/>
  <c r="F18" i="34"/>
  <c r="E37" i="34"/>
  <c r="F37" i="34"/>
  <c r="E28" i="34"/>
  <c r="F28" i="34"/>
  <c r="E32" i="34"/>
  <c r="F32" i="34"/>
  <c r="E24" i="34"/>
  <c r="F24" i="34"/>
  <c r="E34" i="34"/>
  <c r="F34" i="34"/>
  <c r="E29" i="34"/>
  <c r="F29" i="34"/>
  <c r="E19" i="34"/>
  <c r="F19" i="34"/>
  <c r="E27" i="34"/>
  <c r="F27" i="34"/>
  <c r="E23" i="34"/>
  <c r="F23" i="34"/>
  <c r="E26" i="34"/>
  <c r="F26" i="34"/>
  <c r="E30" i="34"/>
  <c r="F30" i="34"/>
  <c r="M46" i="34"/>
  <c r="I46" i="34"/>
  <c r="M45" i="34"/>
  <c r="M28" i="34"/>
  <c r="N28" i="34"/>
  <c r="M38" i="34"/>
  <c r="M32" i="34"/>
  <c r="N32" i="34"/>
  <c r="M29" i="34"/>
  <c r="M22" i="34"/>
  <c r="M27" i="34"/>
  <c r="M17" i="34"/>
  <c r="M25" i="34"/>
  <c r="M21" i="34"/>
  <c r="N21" i="34"/>
  <c r="M31" i="34"/>
  <c r="M24" i="34"/>
  <c r="M23" i="34"/>
  <c r="M33" i="34"/>
  <c r="M20" i="34"/>
  <c r="M36" i="34"/>
  <c r="M34" i="34"/>
  <c r="M16" i="34"/>
  <c r="M30" i="34"/>
  <c r="M35" i="34"/>
  <c r="N35" i="34"/>
  <c r="M18" i="34"/>
  <c r="M19" i="34"/>
  <c r="M37" i="34"/>
  <c r="M26" i="34"/>
  <c r="S41" i="6"/>
  <c r="P37" i="34"/>
  <c r="N37" i="34"/>
  <c r="N18" i="34"/>
  <c r="P18" i="34"/>
  <c r="P30" i="34"/>
  <c r="N30" i="34"/>
  <c r="N34" i="34"/>
  <c r="P34" i="34"/>
  <c r="P20" i="34"/>
  <c r="N20" i="34"/>
  <c r="P23" i="34"/>
  <c r="N23" i="34"/>
  <c r="P31" i="34"/>
  <c r="N31" i="34"/>
  <c r="P25" i="34"/>
  <c r="N25" i="34"/>
  <c r="N27" i="34"/>
  <c r="P27" i="34"/>
  <c r="P29" i="34"/>
  <c r="N29" i="34"/>
  <c r="N38" i="34"/>
  <c r="M40" i="34"/>
  <c r="M47" i="34"/>
  <c r="F38" i="34"/>
  <c r="E40" i="34"/>
  <c r="E47" i="34"/>
  <c r="J38" i="34"/>
  <c r="I40" i="34"/>
  <c r="I47" i="34"/>
  <c r="Z9" i="34"/>
  <c r="AB9" i="34"/>
  <c r="Q9" i="34"/>
  <c r="AC9" i="34"/>
  <c r="AC11" i="34"/>
  <c r="Z11" i="34"/>
  <c r="AB11" i="34"/>
  <c r="Q11" i="34"/>
  <c r="AC8" i="34"/>
  <c r="P13" i="34"/>
  <c r="P42" i="34"/>
  <c r="AA8" i="34"/>
  <c r="AA13" i="34"/>
  <c r="AA42" i="34"/>
  <c r="Z8" i="34"/>
  <c r="Q8" i="34"/>
  <c r="Z12" i="34"/>
  <c r="AB12" i="34"/>
  <c r="Q12" i="34"/>
  <c r="AC12" i="34"/>
  <c r="P26" i="34"/>
  <c r="N26" i="34"/>
  <c r="N19" i="34"/>
  <c r="P19" i="34"/>
  <c r="N16" i="34"/>
  <c r="P16" i="34"/>
  <c r="P36" i="34"/>
  <c r="N36" i="34"/>
  <c r="N33" i="34"/>
  <c r="P33" i="34"/>
  <c r="N24" i="34"/>
  <c r="P24" i="34"/>
  <c r="P17" i="34"/>
  <c r="N17" i="34"/>
  <c r="P22" i="34"/>
  <c r="N22" i="34"/>
  <c r="Q10" i="34"/>
  <c r="Z10" i="34"/>
  <c r="AB10" i="34"/>
  <c r="AC10" i="34"/>
  <c r="F13" i="34"/>
  <c r="E46" i="34"/>
  <c r="Z22" i="34"/>
  <c r="AC22" i="34"/>
  <c r="Q22" i="34"/>
  <c r="P28" i="34"/>
  <c r="T26" i="34"/>
  <c r="AD26" i="34"/>
  <c r="AC26" i="34"/>
  <c r="Q26" i="34"/>
  <c r="Z26" i="34"/>
  <c r="AB26" i="34"/>
  <c r="AF10" i="34"/>
  <c r="AE10" i="34"/>
  <c r="AH10" i="34"/>
  <c r="AI10" i="34"/>
  <c r="AC24" i="34"/>
  <c r="T24" i="34"/>
  <c r="Z24" i="34"/>
  <c r="AB24" i="34"/>
  <c r="Q24" i="34"/>
  <c r="Z33" i="34"/>
  <c r="P35" i="34"/>
  <c r="AC33" i="34"/>
  <c r="Q33" i="34"/>
  <c r="Q16" i="34"/>
  <c r="P21" i="34"/>
  <c r="AC16" i="34"/>
  <c r="Z16" i="34"/>
  <c r="Q19" i="34"/>
  <c r="S19" i="34"/>
  <c r="AD19" i="34"/>
  <c r="AC19" i="34"/>
  <c r="AF12" i="34"/>
  <c r="AJ12" i="34"/>
  <c r="AE12" i="34"/>
  <c r="AH12" i="34"/>
  <c r="AI12" i="34"/>
  <c r="AB8" i="34"/>
  <c r="Z13" i="34"/>
  <c r="P46" i="34"/>
  <c r="AE11" i="34"/>
  <c r="AH11" i="34"/>
  <c r="AI11" i="34"/>
  <c r="AF11" i="34"/>
  <c r="AJ11" i="34"/>
  <c r="AE9" i="34"/>
  <c r="AH9" i="34"/>
  <c r="AI9" i="34"/>
  <c r="AF9" i="34"/>
  <c r="P32" i="34"/>
  <c r="Z29" i="34"/>
  <c r="Q29" i="34"/>
  <c r="AC29" i="34"/>
  <c r="AC25" i="34"/>
  <c r="Q25" i="34"/>
  <c r="T25" i="34"/>
  <c r="AD25" i="34"/>
  <c r="Q31" i="34"/>
  <c r="Z31" i="34"/>
  <c r="AB31" i="34"/>
  <c r="AC31" i="34"/>
  <c r="Q23" i="34"/>
  <c r="Z23" i="34"/>
  <c r="AB23" i="34"/>
  <c r="AC23" i="34"/>
  <c r="Q20" i="34"/>
  <c r="Z20" i="34"/>
  <c r="AB20" i="34"/>
  <c r="AC20" i="34"/>
  <c r="Q30" i="34"/>
  <c r="Z30" i="34"/>
  <c r="AB30" i="34"/>
  <c r="AC30" i="34"/>
  <c r="Q37" i="34"/>
  <c r="AC37" i="34"/>
  <c r="Z37" i="34"/>
  <c r="AB37" i="34"/>
  <c r="Q17" i="34"/>
  <c r="S17" i="34"/>
  <c r="Z17" i="34"/>
  <c r="AB17" i="34"/>
  <c r="AC17" i="34"/>
  <c r="Q36" i="34"/>
  <c r="AC36" i="34"/>
  <c r="P38" i="34"/>
  <c r="Z36" i="34"/>
  <c r="AC13" i="34"/>
  <c r="Q13" i="34"/>
  <c r="Q27" i="34"/>
  <c r="T27" i="34"/>
  <c r="AD27" i="34"/>
  <c r="Z27" i="34"/>
  <c r="AB27" i="34"/>
  <c r="AC27" i="34"/>
  <c r="Q34" i="34"/>
  <c r="AC34" i="34"/>
  <c r="Z34" i="34"/>
  <c r="AB34" i="34"/>
  <c r="Q18" i="34"/>
  <c r="Z18" i="34"/>
  <c r="AB18" i="34"/>
  <c r="AC18" i="34"/>
  <c r="AF17" i="34"/>
  <c r="AE17" i="34"/>
  <c r="AH17" i="34"/>
  <c r="AI17" i="34"/>
  <c r="AE24" i="34"/>
  <c r="AH24" i="34"/>
  <c r="AI24" i="34"/>
  <c r="AF24" i="34"/>
  <c r="AF34" i="34"/>
  <c r="AJ34" i="34"/>
  <c r="AE34" i="34"/>
  <c r="AH34" i="34"/>
  <c r="AI34" i="34"/>
  <c r="AF27" i="34"/>
  <c r="AJ27" i="34"/>
  <c r="AE27" i="34"/>
  <c r="AH27" i="34"/>
  <c r="AI27" i="34"/>
  <c r="Q38" i="34"/>
  <c r="P40" i="34"/>
  <c r="P43" i="34"/>
  <c r="AC38" i="34"/>
  <c r="AB36" i="34"/>
  <c r="Z38" i="34"/>
  <c r="AF37" i="34"/>
  <c r="AJ37" i="34"/>
  <c r="AE37" i="34"/>
  <c r="AH37" i="34"/>
  <c r="AI37" i="34"/>
  <c r="AE30" i="34"/>
  <c r="AH30" i="34"/>
  <c r="AI30" i="34"/>
  <c r="AF30" i="34"/>
  <c r="AJ30" i="34"/>
  <c r="AE23" i="34"/>
  <c r="AH23" i="34"/>
  <c r="AI23" i="34"/>
  <c r="AF23" i="34"/>
  <c r="Q32" i="34"/>
  <c r="AC32" i="34"/>
  <c r="H12" i="37"/>
  <c r="AE8" i="34"/>
  <c r="AB13" i="34"/>
  <c r="AF8" i="34"/>
  <c r="AK12" i="34"/>
  <c r="H16" i="37"/>
  <c r="B12" i="35"/>
  <c r="AB33" i="34"/>
  <c r="Z35" i="34"/>
  <c r="C12" i="35"/>
  <c r="C16" i="37"/>
  <c r="AJ10" i="34"/>
  <c r="AB22" i="34"/>
  <c r="Z25" i="34"/>
  <c r="AB25" i="34"/>
  <c r="Z19" i="34"/>
  <c r="AB19" i="34"/>
  <c r="AF18" i="34"/>
  <c r="AJ18" i="34"/>
  <c r="AE18" i="34"/>
  <c r="AH18" i="34"/>
  <c r="AI18" i="34"/>
  <c r="AD17" i="34"/>
  <c r="AD21" i="34"/>
  <c r="S21" i="34"/>
  <c r="S42" i="34"/>
  <c r="AF20" i="34"/>
  <c r="AJ20" i="34"/>
  <c r="AE20" i="34"/>
  <c r="AH20" i="34"/>
  <c r="AI20" i="34"/>
  <c r="AF31" i="34"/>
  <c r="AJ31" i="34"/>
  <c r="AE31" i="34"/>
  <c r="AH31" i="34"/>
  <c r="AI31" i="34"/>
  <c r="Z32" i="34"/>
  <c r="AB29" i="34"/>
  <c r="AJ9" i="34"/>
  <c r="C9" i="35"/>
  <c r="C13" i="37"/>
  <c r="B11" i="35"/>
  <c r="AK11" i="34"/>
  <c r="H15" i="37"/>
  <c r="AB16" i="34"/>
  <c r="Z21" i="34"/>
  <c r="Q21" i="34"/>
  <c r="AC21" i="34"/>
  <c r="Q35" i="34"/>
  <c r="AC35" i="34"/>
  <c r="T28" i="34"/>
  <c r="T42" i="34"/>
  <c r="AD24" i="34"/>
  <c r="AD28" i="34"/>
  <c r="AF26" i="34"/>
  <c r="AJ26" i="34"/>
  <c r="AE26" i="34"/>
  <c r="AH26" i="34"/>
  <c r="AI26" i="34"/>
  <c r="Q28" i="34"/>
  <c r="AC28" i="34"/>
  <c r="AC42" i="34"/>
  <c r="Z28" i="34"/>
  <c r="J15" i="37"/>
  <c r="I15" i="37"/>
  <c r="D13" i="37"/>
  <c r="E13" i="37"/>
  <c r="AB32" i="34"/>
  <c r="AF29" i="34"/>
  <c r="AE29" i="34"/>
  <c r="AE19" i="34"/>
  <c r="AH19" i="34"/>
  <c r="AI19" i="34"/>
  <c r="AF19" i="34"/>
  <c r="AJ19" i="34"/>
  <c r="AK10" i="34"/>
  <c r="H14" i="37"/>
  <c r="B10" i="35"/>
  <c r="E16" i="37"/>
  <c r="D16" i="37"/>
  <c r="AF13" i="34"/>
  <c r="AJ8" i="34"/>
  <c r="I12" i="37"/>
  <c r="J12" i="37"/>
  <c r="AK37" i="34"/>
  <c r="H39" i="37"/>
  <c r="B37" i="35"/>
  <c r="C37" i="35"/>
  <c r="C39" i="37"/>
  <c r="AF36" i="34"/>
  <c r="AE36" i="34"/>
  <c r="AB38" i="34"/>
  <c r="P47" i="34"/>
  <c r="P44" i="34"/>
  <c r="P45" i="34"/>
  <c r="AJ24" i="34"/>
  <c r="B26" i="35"/>
  <c r="AK26" i="34"/>
  <c r="H28" i="37"/>
  <c r="AB21" i="34"/>
  <c r="AF16" i="34"/>
  <c r="AE16" i="34"/>
  <c r="AK9" i="34"/>
  <c r="H13" i="37"/>
  <c r="B9" i="35"/>
  <c r="AK31" i="34"/>
  <c r="H33" i="37"/>
  <c r="B31" i="35"/>
  <c r="AK20" i="34"/>
  <c r="H22" i="37"/>
  <c r="B20" i="35"/>
  <c r="AK18" i="34"/>
  <c r="H20" i="37"/>
  <c r="B18" i="35"/>
  <c r="AE25" i="34"/>
  <c r="AH25" i="34"/>
  <c r="AI25" i="34"/>
  <c r="AF25" i="34"/>
  <c r="AJ25" i="34"/>
  <c r="AE22" i="34"/>
  <c r="AF22" i="34"/>
  <c r="AB28" i="34"/>
  <c r="AF33" i="34"/>
  <c r="AB35" i="34"/>
  <c r="AE33" i="34"/>
  <c r="O16" i="37"/>
  <c r="N16" i="37"/>
  <c r="J16" i="37"/>
  <c r="I16" i="37"/>
  <c r="AH8" i="34"/>
  <c r="AI8" i="34"/>
  <c r="AE13" i="34"/>
  <c r="AJ23" i="34"/>
  <c r="AK30" i="34"/>
  <c r="H32" i="37"/>
  <c r="B30" i="35"/>
  <c r="AK27" i="34"/>
  <c r="H29" i="37"/>
  <c r="B27" i="35"/>
  <c r="AK34" i="34"/>
  <c r="H36" i="37"/>
  <c r="B34" i="35"/>
  <c r="C34" i="35"/>
  <c r="C36" i="37"/>
  <c r="AJ17" i="34"/>
  <c r="AD42" i="34"/>
  <c r="C11" i="35"/>
  <c r="C15" i="37"/>
  <c r="N15" i="37"/>
  <c r="C10" i="35"/>
  <c r="C14" i="37"/>
  <c r="Z42" i="34"/>
  <c r="C17" i="35"/>
  <c r="C19" i="37"/>
  <c r="D19" i="37"/>
  <c r="C18" i="35"/>
  <c r="C20" i="37"/>
  <c r="E20" i="37"/>
  <c r="AB42" i="34"/>
  <c r="C19" i="35"/>
  <c r="C21" i="37"/>
  <c r="D21" i="37"/>
  <c r="E14" i="37"/>
  <c r="D14" i="37"/>
  <c r="D20" i="37"/>
  <c r="AK17" i="34"/>
  <c r="H19" i="37"/>
  <c r="B17" i="35"/>
  <c r="D36" i="37"/>
  <c r="E36" i="37"/>
  <c r="B23" i="35"/>
  <c r="AK23" i="34"/>
  <c r="H25" i="37"/>
  <c r="AH33" i="34"/>
  <c r="AI33" i="34"/>
  <c r="AE35" i="34"/>
  <c r="AH35" i="34"/>
  <c r="AI35" i="34"/>
  <c r="AF35" i="34"/>
  <c r="AJ35" i="34"/>
  <c r="AJ33" i="34"/>
  <c r="C22" i="35"/>
  <c r="C24" i="37"/>
  <c r="AF28" i="34"/>
  <c r="AJ28" i="34"/>
  <c r="AJ22" i="34"/>
  <c r="AK25" i="34"/>
  <c r="H27" i="37"/>
  <c r="B25" i="35"/>
  <c r="AE21" i="34"/>
  <c r="AH21" i="34"/>
  <c r="AI21" i="34"/>
  <c r="AH16" i="34"/>
  <c r="AI16" i="34"/>
  <c r="AH36" i="34"/>
  <c r="AI36" i="34"/>
  <c r="AE38" i="34"/>
  <c r="AH38" i="34"/>
  <c r="AI38" i="34"/>
  <c r="D39" i="37"/>
  <c r="E39" i="37"/>
  <c r="B8" i="35"/>
  <c r="AK8" i="34"/>
  <c r="AJ13" i="34"/>
  <c r="O14" i="37"/>
  <c r="J14" i="37"/>
  <c r="I14" i="37"/>
  <c r="N14" i="37"/>
  <c r="AF32" i="34"/>
  <c r="AJ32" i="34"/>
  <c r="AJ29" i="34"/>
  <c r="E15" i="37"/>
  <c r="D15" i="37"/>
  <c r="E21" i="37"/>
  <c r="E19" i="37"/>
  <c r="I36" i="37"/>
  <c r="J36" i="37"/>
  <c r="O36" i="37"/>
  <c r="N36" i="37"/>
  <c r="J29" i="37"/>
  <c r="I29" i="37"/>
  <c r="J32" i="37"/>
  <c r="I32" i="37"/>
  <c r="AH22" i="34"/>
  <c r="AI22" i="34"/>
  <c r="AE28" i="34"/>
  <c r="AH28" i="34"/>
  <c r="AI28" i="34"/>
  <c r="I20" i="37"/>
  <c r="J20" i="37"/>
  <c r="N20" i="37"/>
  <c r="J22" i="37"/>
  <c r="I22" i="37"/>
  <c r="I33" i="37"/>
  <c r="J33" i="37"/>
  <c r="O13" i="37"/>
  <c r="N13" i="37"/>
  <c r="I13" i="37"/>
  <c r="J13" i="37"/>
  <c r="C20" i="35"/>
  <c r="C22" i="37"/>
  <c r="N22" i="37"/>
  <c r="C16" i="35"/>
  <c r="C18" i="37"/>
  <c r="AJ16" i="34"/>
  <c r="AF21" i="34"/>
  <c r="AJ21" i="34"/>
  <c r="J28" i="37"/>
  <c r="I28" i="37"/>
  <c r="B24" i="35"/>
  <c r="AK24" i="34"/>
  <c r="H26" i="37"/>
  <c r="AF38" i="34"/>
  <c r="AJ38" i="34"/>
  <c r="AJ36" i="34"/>
  <c r="N39" i="37"/>
  <c r="O39" i="37"/>
  <c r="J39" i="37"/>
  <c r="I39" i="37"/>
  <c r="B19" i="35"/>
  <c r="AK19" i="34"/>
  <c r="H21" i="37"/>
  <c r="AE32" i="34"/>
  <c r="AH32" i="34"/>
  <c r="AI32" i="34"/>
  <c r="AH29" i="34"/>
  <c r="AI29" i="34"/>
  <c r="C24" i="35"/>
  <c r="C26" i="37"/>
  <c r="C27" i="35"/>
  <c r="C29" i="37"/>
  <c r="O29" i="37"/>
  <c r="C8" i="35"/>
  <c r="C23" i="35"/>
  <c r="C25" i="37"/>
  <c r="C26" i="35"/>
  <c r="C28" i="37"/>
  <c r="C25" i="35"/>
  <c r="C27" i="37"/>
  <c r="O15" i="37"/>
  <c r="O20" i="37"/>
  <c r="AE42" i="34"/>
  <c r="E28" i="37"/>
  <c r="D28" i="37"/>
  <c r="C12" i="37"/>
  <c r="G7" i="35"/>
  <c r="E26" i="37"/>
  <c r="D26" i="37"/>
  <c r="O21" i="37"/>
  <c r="I21" i="37"/>
  <c r="J21" i="37"/>
  <c r="N21" i="37"/>
  <c r="B36" i="35"/>
  <c r="C36" i="35"/>
  <c r="C38" i="37"/>
  <c r="AK36" i="34"/>
  <c r="H38" i="37"/>
  <c r="O26" i="37"/>
  <c r="N26" i="37"/>
  <c r="I26" i="37"/>
  <c r="J26" i="37"/>
  <c r="B21" i="35"/>
  <c r="AK21" i="34"/>
  <c r="D18" i="37"/>
  <c r="E18" i="37"/>
  <c r="AK29" i="34"/>
  <c r="H31" i="37"/>
  <c r="B29" i="35"/>
  <c r="AK13" i="34"/>
  <c r="B13" i="35"/>
  <c r="B22" i="35"/>
  <c r="AK22" i="34"/>
  <c r="H24" i="37"/>
  <c r="E24" i="37"/>
  <c r="D24" i="37"/>
  <c r="AK35" i="34"/>
  <c r="B35" i="35"/>
  <c r="O19" i="37"/>
  <c r="J19" i="37"/>
  <c r="N19" i="37"/>
  <c r="I19" i="37"/>
  <c r="O28" i="37"/>
  <c r="E27" i="37"/>
  <c r="D27" i="37"/>
  <c r="D25" i="37"/>
  <c r="E25" i="37"/>
  <c r="E29" i="37"/>
  <c r="D29" i="37"/>
  <c r="B38" i="35"/>
  <c r="AK38" i="34"/>
  <c r="AK16" i="34"/>
  <c r="H18" i="37"/>
  <c r="B16" i="35"/>
  <c r="D22" i="37"/>
  <c r="E22" i="37"/>
  <c r="B32" i="35"/>
  <c r="AK32" i="34"/>
  <c r="I27" i="37"/>
  <c r="O27" i="37"/>
  <c r="N27" i="37"/>
  <c r="J27" i="37"/>
  <c r="B28" i="35"/>
  <c r="AK28" i="34"/>
  <c r="AK33" i="34"/>
  <c r="H35" i="37"/>
  <c r="B33" i="35"/>
  <c r="C33" i="35"/>
  <c r="C35" i="37"/>
  <c r="O25" i="37"/>
  <c r="N25" i="37"/>
  <c r="I25" i="37"/>
  <c r="J25" i="37"/>
  <c r="N28" i="37"/>
  <c r="O22" i="37"/>
  <c r="N29" i="37"/>
  <c r="AF42" i="34"/>
  <c r="N35" i="37"/>
  <c r="J35" i="37"/>
  <c r="I35" i="37"/>
  <c r="O35" i="37"/>
  <c r="C30" i="35"/>
  <c r="C32" i="37"/>
  <c r="C29" i="35"/>
  <c r="C31" i="37"/>
  <c r="C31" i="35"/>
  <c r="C33" i="37"/>
  <c r="O18" i="37"/>
  <c r="N18" i="37"/>
  <c r="J18" i="37"/>
  <c r="I18" i="37"/>
  <c r="N24" i="37"/>
  <c r="J24" i="37"/>
  <c r="I24" i="37"/>
  <c r="O24" i="37"/>
  <c r="O38" i="37"/>
  <c r="N38" i="37"/>
  <c r="I38" i="37"/>
  <c r="J38" i="37"/>
  <c r="G8" i="35"/>
  <c r="H7" i="35"/>
  <c r="H8" i="35"/>
  <c r="E35" i="37"/>
  <c r="D35" i="37"/>
  <c r="O31" i="37"/>
  <c r="I31" i="37"/>
  <c r="N31" i="37"/>
  <c r="J31" i="37"/>
  <c r="D38" i="37"/>
  <c r="E38" i="37"/>
  <c r="E12" i="37"/>
  <c r="D12" i="37"/>
  <c r="N12" i="37"/>
  <c r="O12" i="37"/>
  <c r="E33" i="37"/>
  <c r="D33" i="37"/>
  <c r="O33" i="37"/>
  <c r="N33" i="37"/>
  <c r="D32" i="37"/>
  <c r="E32" i="37"/>
  <c r="N32" i="37"/>
  <c r="O32" i="37"/>
  <c r="E31" i="37"/>
  <c r="D31" i="37"/>
</calcChain>
</file>

<file path=xl/sharedStrings.xml><?xml version="1.0" encoding="utf-8"?>
<sst xmlns="http://schemas.openxmlformats.org/spreadsheetml/2006/main" count="443" uniqueCount="210">
  <si>
    <t>Printed Paper</t>
  </si>
  <si>
    <t>Telephone Books</t>
  </si>
  <si>
    <t>Other Printed Paper</t>
  </si>
  <si>
    <t>Magazines and Catalogues</t>
  </si>
  <si>
    <t>Paper Packaging</t>
  </si>
  <si>
    <t>Old Corrugated Containers</t>
  </si>
  <si>
    <t>Old Boxboard</t>
  </si>
  <si>
    <t>Gabletop Cartons</t>
  </si>
  <si>
    <t>Aseptic Containers</t>
  </si>
  <si>
    <t>Plastics</t>
  </si>
  <si>
    <t>PET bottles</t>
  </si>
  <si>
    <t>HDPE bottles</t>
  </si>
  <si>
    <t>Plastic Film</t>
  </si>
  <si>
    <t>Polystyrene</t>
  </si>
  <si>
    <t>Other Plastics</t>
  </si>
  <si>
    <t>Aluminum</t>
  </si>
  <si>
    <t>Food and Beverage</t>
  </si>
  <si>
    <t>Aerosols</t>
  </si>
  <si>
    <t>Paint Cans</t>
  </si>
  <si>
    <t>Glass</t>
  </si>
  <si>
    <t>Food and Beverage - Flint</t>
  </si>
  <si>
    <t>Food and Beverage - Coloured</t>
  </si>
  <si>
    <t>Plastic Laminants</t>
  </si>
  <si>
    <t>Paper Laminants</t>
  </si>
  <si>
    <t>Revenues</t>
  </si>
  <si>
    <t>Total</t>
  </si>
  <si>
    <t>Weight</t>
  </si>
  <si>
    <t>Material</t>
  </si>
  <si>
    <t>Industry Allocation</t>
  </si>
  <si>
    <t>($/tonne)</t>
  </si>
  <si>
    <t>Weight for Factor</t>
  </si>
  <si>
    <t>Category</t>
  </si>
  <si>
    <t>Total Cost</t>
  </si>
  <si>
    <t>Paper Pack'g Total</t>
  </si>
  <si>
    <t>Plastics Total</t>
  </si>
  <si>
    <t>Aluminum Total</t>
  </si>
  <si>
    <t>Glass Total</t>
  </si>
  <si>
    <t>Printed Paper Total</t>
  </si>
  <si>
    <t>Gabletop</t>
  </si>
  <si>
    <t>TOTALS</t>
  </si>
  <si>
    <t>Recovery Rate</t>
  </si>
  <si>
    <t>Packaging</t>
  </si>
  <si>
    <t>Paper Packaging Total</t>
  </si>
  <si>
    <t>PACKAGING</t>
  </si>
  <si>
    <t>PRINTED PAPER</t>
  </si>
  <si>
    <t>PACKAGING TOTAL</t>
  </si>
  <si>
    <t>Steel</t>
  </si>
  <si>
    <t>Net Cost of Current System</t>
  </si>
  <si>
    <t>Factor Allocation to Printed Paper</t>
  </si>
  <si>
    <t>Factor Allocation to Packaging</t>
  </si>
  <si>
    <t>Allocated Printed Paper Cost</t>
  </si>
  <si>
    <t>Allocated Packaging Cost</t>
  </si>
  <si>
    <t xml:space="preserve">Paper Based </t>
  </si>
  <si>
    <t>Plastic Packaging</t>
  </si>
  <si>
    <t>Steel Packaging</t>
  </si>
  <si>
    <t>Aluminum Packaging</t>
  </si>
  <si>
    <t>Glass Packaging</t>
  </si>
  <si>
    <t>Steel Total</t>
  </si>
  <si>
    <t>Paper Based Packaging</t>
  </si>
  <si>
    <t>Other</t>
  </si>
  <si>
    <t>Density</t>
  </si>
  <si>
    <t>Volume</t>
  </si>
  <si>
    <t>Plastics Packaging</t>
  </si>
  <si>
    <t>Food &amp; Beverage Cans</t>
  </si>
  <si>
    <t>Coloured Glass</t>
  </si>
  <si>
    <t>m3</t>
  </si>
  <si>
    <t>kg/m3</t>
  </si>
  <si>
    <t>Allocation of Stewards Within Material Categories</t>
  </si>
  <si>
    <t>(tonnes)</t>
  </si>
  <si>
    <t>Assumed Recovery Rate</t>
  </si>
  <si>
    <t>Costs Allocated to Material Categories</t>
  </si>
  <si>
    <t>Market Development Programs</t>
  </si>
  <si>
    <t>(cents/kg)</t>
  </si>
  <si>
    <t>Quantity Generated</t>
  </si>
  <si>
    <t>Newsprint - Non-CNA/OCNA</t>
  </si>
  <si>
    <t>Table 1:  Generation and Recovery (full-year obligation)</t>
  </si>
  <si>
    <t>Table 2:  Gross and Net Costs (full-year obligation)</t>
  </si>
  <si>
    <t>Programs, Start-up and Administration</t>
  </si>
  <si>
    <t>%'age of Generated</t>
  </si>
  <si>
    <t>Quantity Recovered</t>
  </si>
  <si>
    <t>Quantity to Disposal</t>
  </si>
  <si>
    <t>% of Total Disposed</t>
  </si>
  <si>
    <t>Per-tonne</t>
  </si>
  <si>
    <t>Total Revenue</t>
  </si>
  <si>
    <t>Total Net Cost</t>
  </si>
  <si>
    <t>%'age of Net $</t>
  </si>
  <si>
    <t>%'age of Printed Cost</t>
  </si>
  <si>
    <t>%'age of Pckg Cost</t>
  </si>
  <si>
    <t>Rec. Rate Allocated Fee/Tonne Generated</t>
  </si>
  <si>
    <t>Net Cost Allocated Fee/Tonne Generated</t>
  </si>
  <si>
    <t>Equalization Allocated Fee/Tonne Generated</t>
  </si>
  <si>
    <t>Base Fee Total Fee/Tonne Generated</t>
  </si>
  <si>
    <t>Total - Base + All Program + Start-up + Admin Fees</t>
  </si>
  <si>
    <t>Glass Market Programs</t>
  </si>
  <si>
    <t>Al Food &amp; Beverage Cans</t>
  </si>
  <si>
    <t>Other Aluminum Packaging</t>
  </si>
  <si>
    <t>Newsprint - CNA/OCNA</t>
  </si>
  <si>
    <t>Flint Glass</t>
  </si>
  <si>
    <t>Percentage of Stewards</t>
  </si>
  <si>
    <t>Gross Cost</t>
  </si>
  <si>
    <t>Recovery Rate Factor Weighting</t>
  </si>
  <si>
    <t>Net Cost Factor Weighting</t>
  </si>
  <si>
    <t>Equalization Factor Weighting</t>
  </si>
  <si>
    <t>Diversion Target</t>
  </si>
  <si>
    <t>%</t>
  </si>
  <si>
    <t>Total Stewards</t>
  </si>
  <si>
    <t>Model Inputs</t>
  </si>
  <si>
    <t>Steel Food &amp; Beverage Cans</t>
  </si>
  <si>
    <t>Steel Aerosols</t>
  </si>
  <si>
    <t>Steel Paint Cans</t>
  </si>
  <si>
    <t>Aluminum Food &amp; Beverage Cans</t>
  </si>
  <si>
    <t>Material Categories</t>
  </si>
  <si>
    <t>(%)</t>
  </si>
  <si>
    <t>In Kind Credited $ (1)</t>
  </si>
  <si>
    <t>Gross Revenue (Sheet 2)</t>
  </si>
  <si>
    <t>50% of Reported Net Cost</t>
  </si>
  <si>
    <t>Negotiated Cost Reduction (from Cost Bands)</t>
  </si>
  <si>
    <t>Obligation to Municipalities</t>
  </si>
  <si>
    <t>Net Total - Base + All Program + Start Up + Admin Fees, Less in-kind</t>
  </si>
  <si>
    <t>Combined Printed Paper</t>
  </si>
  <si>
    <t>Combined Paper Packaging</t>
  </si>
  <si>
    <t>Combined Plastic Packaging</t>
  </si>
  <si>
    <t>Combined Steel Packaging</t>
  </si>
  <si>
    <t>Combined Al Packaging</t>
  </si>
  <si>
    <t>Combined Glass Packaging</t>
  </si>
  <si>
    <t>Basis for Distribution for Common Costs</t>
  </si>
  <si>
    <t>Factor Weightings Sheet 3</t>
  </si>
  <si>
    <t>Obligation Estimation (Sheet 3)</t>
  </si>
  <si>
    <t>Newsprint - CNA/OCNA (4)</t>
  </si>
  <si>
    <t>Extent of Aggregation of Fee Rates</t>
  </si>
  <si>
    <t>Table 3:  Fee Schedule By Material Type (full-year obligation)</t>
  </si>
  <si>
    <t>Clear Glass</t>
  </si>
  <si>
    <t>Composites Programs</t>
  </si>
  <si>
    <t>Plastics Market Programs</t>
  </si>
  <si>
    <t>Basis of Initial Allocation of Common Costs (Sheets 1 &amp; 3)</t>
  </si>
  <si>
    <t>(% dis-aggregated)</t>
  </si>
  <si>
    <t>Municipal Obligation</t>
  </si>
  <si>
    <t>Common Costs (less credit)</t>
  </si>
  <si>
    <t>Cost to Manage Rest of 60%</t>
  </si>
  <si>
    <t>%'age Cost of Tonnes to 60%</t>
  </si>
  <si>
    <t>Fully Disaggregated Material Fee Rate
(In-Kind Not Included)</t>
  </si>
  <si>
    <t>Fully Disaggregated Material Fee Rate
(In-Kind Included)</t>
  </si>
  <si>
    <t>(1) These fee calculations reflect that the entire municipal obligation of CNA/OCNA newsprint will be made as an in-kind contribution.</t>
  </si>
  <si>
    <t>All start up, administration and other program costs are required to be paid in cash by CNA/OCNA.</t>
  </si>
  <si>
    <t>Common</t>
  </si>
  <si>
    <t>In-Kind</t>
  </si>
  <si>
    <t>(2) Includes the in-kind contribution for CNA/OCNA newsprint after aggregation within printed paper group.</t>
  </si>
  <si>
    <t>Dis-aggregated (cents/kg)</t>
  </si>
  <si>
    <t>Aggregated (cents/kg)</t>
  </si>
  <si>
    <t>Program Management</t>
  </si>
  <si>
    <t>Share of corporate expenses</t>
  </si>
  <si>
    <t>Investment expense</t>
  </si>
  <si>
    <t>WDO Costs</t>
  </si>
  <si>
    <t>Market Development - Glass</t>
  </si>
  <si>
    <t>Market Development - Plastics</t>
  </si>
  <si>
    <t>Market Development - Composites</t>
  </si>
  <si>
    <t>Generation
(Sheet 1)</t>
  </si>
  <si>
    <t>Recovery
(Sheet 1)</t>
  </si>
  <si>
    <t>Transfers</t>
  </si>
  <si>
    <t>MOE Compliance and Enforcement</t>
  </si>
  <si>
    <t>Investments</t>
  </si>
  <si>
    <t>Performance tracking system (EIS)</t>
  </si>
  <si>
    <t>External field services</t>
  </si>
  <si>
    <t>Program mandated support activities</t>
  </si>
  <si>
    <t>Strategic Planning &amp; Priorities</t>
  </si>
  <si>
    <t>Total Fees
(In-Kind Included)</t>
  </si>
  <si>
    <t>2010 Tonnage Data</t>
  </si>
  <si>
    <t>2010 Cost Data</t>
  </si>
  <si>
    <t>Model Parameters for Setting 2012 Fees</t>
  </si>
  <si>
    <t>2012 Fee Rates</t>
  </si>
  <si>
    <t>Preliminary 2012 Fee Rates</t>
  </si>
  <si>
    <t>Printed materials</t>
  </si>
  <si>
    <t>Paper packaging</t>
  </si>
  <si>
    <t>Plastic packaging</t>
  </si>
  <si>
    <t>Total Fees (In-Kind Not Included)</t>
  </si>
  <si>
    <t>Surplus / Deficit ($)</t>
  </si>
  <si>
    <t>Waste audits</t>
  </si>
  <si>
    <t>Other Expenses + Waste audits</t>
  </si>
  <si>
    <t>Surplus/Deficit (2012 fees) + PY adjustments</t>
  </si>
  <si>
    <t>Sales 2010</t>
  </si>
  <si>
    <t>Stewards Sales for 2010 (Sheet 3)</t>
  </si>
  <si>
    <t>Generation Factor</t>
  </si>
  <si>
    <t>Unrecovered Factor</t>
  </si>
  <si>
    <t>gross cost alloc</t>
  </si>
  <si>
    <t>Allocated Fee</t>
  </si>
  <si>
    <t>Subtract Revenues</t>
  </si>
  <si>
    <t xml:space="preserve"> Allocated Fee</t>
  </si>
  <si>
    <t>Packaging Total</t>
  </si>
  <si>
    <t>Combined Base Allocated Fees / 2</t>
  </si>
  <si>
    <t>Steel Food and Beverage</t>
  </si>
  <si>
    <t>Gross Cost Factor</t>
  </si>
  <si>
    <t>2012 BB Fee Rates</t>
  </si>
  <si>
    <t>Gross Cost (Sheet 2)</t>
  </si>
  <si>
    <t>%'age of Gross cost</t>
  </si>
  <si>
    <t>%'age of Unrecovered te</t>
  </si>
  <si>
    <t>Fee rates (cents/ kg)
Aggregated</t>
  </si>
  <si>
    <t>Fee rates (cents/ kg)
Disaggregated</t>
  </si>
  <si>
    <t>Variance ($)</t>
  </si>
  <si>
    <t>Variance (%)</t>
  </si>
  <si>
    <t>Aggregated vs Disaggregated</t>
  </si>
  <si>
    <t>New factors:</t>
  </si>
  <si>
    <t>Generation te</t>
  </si>
  <si>
    <t>Gross cost</t>
  </si>
  <si>
    <t>Unrecovered te</t>
  </si>
  <si>
    <t>Option 1 - Current</t>
  </si>
  <si>
    <t>Option 1 - 
Current
Variance ($)</t>
  </si>
  <si>
    <t>Option 1 - 
Current
Variance (%)</t>
  </si>
  <si>
    <t>Option 2 - 
New Idea
Variance ($)</t>
  </si>
  <si>
    <t>Option 2 - 
New Idea
Variance (%)</t>
  </si>
  <si>
    <t>Option 2 - 
New Idea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</si>
</sst>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\-&quot;$&quot;#,##0.00"/>
    <numFmt numFmtId="165" formatCode="_(* #,##0.0_);_(* \(#,##0.0\);_(* &quot;-&quot;??_);_(@_)"/>
    <numFmt numFmtId="166" formatCode="_(* #,##0_);_(* \(#,##0\);_(* &quot;-&quot;??_);_(@_)"/>
    <numFmt numFmtId="167" formatCode="0.0%"/>
    <numFmt numFmtId="168" formatCode="_(* #,##0.000_);_(* \(#,##0.000\);_(* &quot;-&quot;??_);_(@_)"/>
    <numFmt numFmtId="169" formatCode="_(* #,##0.0000_);_(* \(#,##0.0000\);_(* &quot;-&quot;??_);_(@_)"/>
    <numFmt numFmtId="170" formatCode="0.0000"/>
    <numFmt numFmtId="171" formatCode="0.000"/>
    <numFmt numFmtId="172" formatCode="_(&quot;$&quot;* #,##0_);_(&quot;$&quot;* \(#,##0\);_(&quot;$&quot;* &quot;-&quot;??_);_(@_)"/>
    <numFmt numFmtId="173" formatCode="&quot;$&quot;#,##0"/>
    <numFmt numFmtId="174" formatCode=";;"/>
    <numFmt numFmtId="175" formatCode="#,##0.00&quot; ¢/kg&quot;"/>
    <numFmt numFmtId="176" formatCode="#,##0.000&quot; ¢/kg&quot;"/>
    <numFmt numFmtId="177" formatCode="&quot;Net Cost to Achieve &quot;0%\ &quot;Diversion Rate&quot;"/>
    <numFmt numFmtId="178" formatCode="&quot;$&quot;0.00&quot;/tonne&quot;"/>
    <numFmt numFmtId="179" formatCode="&quot;$&quot;0.00&quot; /tonne&quot;"/>
    <numFmt numFmtId="180" formatCode="0.0000000%"/>
    <numFmt numFmtId="181" formatCode="_(* #,##0.00000_);_(* \(#,##0.00000\);_(* &quot;-&quot;??_);_(@_)"/>
    <numFmt numFmtId="182" formatCode="_(* #,##0.0000000_);_(* \(#,##0.0000000\);_(* &quot;-&quot;??_);_(@_)"/>
    <numFmt numFmtId="183" formatCode="_(&quot;$&quot;* #,##0.00000_);_(&quot;$&quot;* \(#,##0.00000\);_(&quot;$&quot;* &quot;-&quot;??_);_(@_)"/>
    <numFmt numFmtId="184" formatCode="#,##0.000"/>
    <numFmt numFmtId="185" formatCode="_-* #,##0_-;\-* #,##0_-;_-* &quot;-&quot;??_-;_-@_-"/>
    <numFmt numFmtId="186" formatCode="_-* #,##0.0000_-;\-* #,##0.0000_-;_-* &quot;-&quot;??_-;_-@_-"/>
  </numFmts>
  <fonts count="7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color indexed="10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0"/>
      <color indexed="8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sz val="10"/>
      <color indexed="9"/>
      <name val="Arial"/>
      <family val="2"/>
    </font>
    <font>
      <b/>
      <sz val="16"/>
      <color indexed="10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b/>
      <i/>
      <sz val="2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0"/>
      <color rgb="FF0000FF"/>
      <name val="Arial"/>
      <family val="2"/>
    </font>
    <font>
      <sz val="10"/>
      <color rgb="FF0070C0"/>
      <name val="Arial"/>
      <family val="2"/>
    </font>
    <font>
      <b/>
      <sz val="10"/>
      <color rgb="FF0000FF"/>
      <name val="Arial"/>
      <family val="2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Arial"/>
      <family val="2"/>
    </font>
    <font>
      <sz val="12"/>
      <color theme="0"/>
      <name val="Arial"/>
      <family val="2"/>
    </font>
    <font>
      <i/>
      <sz val="11"/>
      <color rgb="FF0000FF"/>
      <name val="Arial"/>
      <family val="2"/>
    </font>
    <font>
      <sz val="1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55"/>
        <bgColor indexed="9"/>
      </patternFill>
    </fill>
    <fill>
      <patternFill patternType="gray0625">
        <fgColor indexed="55"/>
      </patternFill>
    </fill>
    <fill>
      <patternFill patternType="gray0625">
        <fgColor indexed="15"/>
        <bgColor indexed="9"/>
      </patternFill>
    </fill>
    <fill>
      <patternFill patternType="gray0625">
        <fgColor indexed="45"/>
        <bgColor indexed="9"/>
      </patternFill>
    </fill>
    <fill>
      <patternFill patternType="lightGray">
        <fgColor indexed="15"/>
        <bgColor indexed="9"/>
      </patternFill>
    </fill>
    <fill>
      <patternFill patternType="lightGray">
        <fgColor indexed="46"/>
        <bgColor indexed="9"/>
      </patternFill>
    </fill>
    <fill>
      <patternFill patternType="gray125">
        <fgColor indexed="47"/>
        <bgColor indexed="9"/>
      </patternFill>
    </fill>
    <fill>
      <patternFill patternType="gray125">
        <fgColor indexed="24"/>
        <bgColor indexed="9"/>
      </patternFill>
    </fill>
    <fill>
      <patternFill patternType="gray0625">
        <fgColor indexed="22"/>
        <bgColor indexed="9"/>
      </patternFill>
    </fill>
    <fill>
      <patternFill patternType="gray125">
        <fgColor indexed="14"/>
        <bgColor indexed="9"/>
      </patternFill>
    </fill>
    <fill>
      <patternFill patternType="gray125">
        <fgColor indexed="42"/>
        <bgColor indexed="9"/>
      </patternFill>
    </fill>
    <fill>
      <patternFill patternType="gray125">
        <fgColor indexed="49"/>
        <bgColor indexed="9"/>
      </patternFill>
    </fill>
    <fill>
      <patternFill patternType="gray0625">
        <fgColor indexed="52"/>
        <bgColor indexed="9"/>
      </patternFill>
    </fill>
    <fill>
      <patternFill patternType="solid">
        <fgColor indexed="9"/>
        <bgColor indexed="64"/>
      </patternFill>
    </fill>
    <fill>
      <patternFill patternType="gray0625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38">
    <xf numFmtId="0" fontId="0" fillId="0" borderId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8" fillId="20" borderId="1" applyNumberFormat="0" applyAlignment="0" applyProtection="0"/>
    <xf numFmtId="0" fontId="38" fillId="20" borderId="1" applyNumberFormat="0" applyAlignment="0" applyProtection="0"/>
    <xf numFmtId="0" fontId="38" fillId="20" borderId="1" applyNumberFormat="0" applyAlignment="0" applyProtection="0"/>
    <xf numFmtId="0" fontId="39" fillId="21" borderId="2" applyNumberFormat="0" applyAlignment="0" applyProtection="0"/>
    <xf numFmtId="0" fontId="39" fillId="21" borderId="2" applyNumberFormat="0" applyAlignment="0" applyProtection="0"/>
    <xf numFmtId="0" fontId="39" fillId="21" borderId="2" applyNumberFormat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7" borderId="1" applyNumberFormat="0" applyAlignment="0" applyProtection="0"/>
    <xf numFmtId="0" fontId="45" fillId="7" borderId="1" applyNumberFormat="0" applyAlignment="0" applyProtection="0"/>
    <xf numFmtId="0" fontId="45" fillId="7" borderId="1" applyNumberFormat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23" borderId="7" applyNumberFormat="0" applyFont="0" applyAlignment="0" applyProtection="0"/>
    <xf numFmtId="0" fontId="35" fillId="23" borderId="7" applyNumberFormat="0" applyFont="0" applyAlignment="0" applyProtection="0"/>
    <xf numFmtId="0" fontId="35" fillId="23" borderId="7" applyNumberFormat="0" applyFont="0" applyAlignment="0" applyProtection="0"/>
    <xf numFmtId="0" fontId="49" fillId="20" borderId="8" applyNumberFormat="0" applyAlignment="0" applyProtection="0"/>
    <xf numFmtId="0" fontId="49" fillId="20" borderId="8" applyNumberFormat="0" applyAlignment="0" applyProtection="0"/>
    <xf numFmtId="0" fontId="49" fillId="20" borderId="8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111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74" fontId="0" fillId="0" borderId="0" xfId="0" applyNumberFormat="1" applyBorder="1" applyAlignment="1" applyProtection="1">
      <alignment vertical="center"/>
    </xf>
    <xf numFmtId="172" fontId="4" fillId="0" borderId="0" xfId="85" applyNumberFormat="1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24" borderId="11" xfId="0" applyFont="1" applyFill="1" applyBorder="1" applyAlignment="1" applyProtection="1">
      <alignment horizontal="left" vertical="center"/>
    </xf>
    <xf numFmtId="0" fontId="2" fillId="24" borderId="12" xfId="0" applyFont="1" applyFill="1" applyBorder="1" applyAlignment="1" applyProtection="1">
      <alignment vertical="center"/>
    </xf>
    <xf numFmtId="10" fontId="2" fillId="24" borderId="12" xfId="126" applyNumberFormat="1" applyFont="1" applyFill="1" applyBorder="1" applyAlignment="1" applyProtection="1">
      <alignment vertical="center"/>
    </xf>
    <xf numFmtId="166" fontId="2" fillId="24" borderId="12" xfId="82" applyNumberFormat="1" applyFont="1" applyFill="1" applyBorder="1" applyAlignment="1" applyProtection="1">
      <alignment vertical="center"/>
    </xf>
    <xf numFmtId="166" fontId="2" fillId="24" borderId="13" xfId="82" applyNumberFormat="1" applyFont="1" applyFill="1" applyBorder="1" applyAlignment="1" applyProtection="1">
      <alignment vertical="center"/>
    </xf>
    <xf numFmtId="44" fontId="2" fillId="24" borderId="11" xfId="85" applyFont="1" applyFill="1" applyBorder="1" applyAlignment="1" applyProtection="1">
      <alignment vertical="center"/>
    </xf>
    <xf numFmtId="172" fontId="2" fillId="24" borderId="14" xfId="85" applyNumberFormat="1" applyFont="1" applyFill="1" applyBorder="1" applyAlignment="1" applyProtection="1">
      <alignment vertical="center"/>
    </xf>
    <xf numFmtId="172" fontId="2" fillId="24" borderId="15" xfId="85" applyNumberFormat="1" applyFont="1" applyFill="1" applyBorder="1" applyAlignment="1" applyProtection="1">
      <alignment vertical="center"/>
    </xf>
    <xf numFmtId="172" fontId="2" fillId="24" borderId="12" xfId="0" applyNumberFormat="1" applyFont="1" applyFill="1" applyBorder="1" applyAlignment="1" applyProtection="1">
      <alignment vertical="center"/>
    </xf>
    <xf numFmtId="10" fontId="2" fillId="24" borderId="15" xfId="126" applyNumberFormat="1" applyFont="1" applyFill="1" applyBorder="1" applyAlignment="1" applyProtection="1">
      <alignment vertical="center"/>
    </xf>
    <xf numFmtId="10" fontId="2" fillId="24" borderId="14" xfId="126" applyNumberFormat="1" applyFont="1" applyFill="1" applyBorder="1" applyAlignment="1" applyProtection="1">
      <alignment vertical="center"/>
    </xf>
    <xf numFmtId="172" fontId="2" fillId="24" borderId="11" xfId="85" applyNumberFormat="1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vertical="center"/>
    </xf>
    <xf numFmtId="172" fontId="5" fillId="0" borderId="16" xfId="85" applyNumberFormat="1" applyFont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2" fillId="0" borderId="20" xfId="0" applyFont="1" applyFill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2" fillId="0" borderId="22" xfId="0" applyFont="1" applyFill="1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2" fillId="24" borderId="24" xfId="0" applyFont="1" applyFill="1" applyBorder="1" applyAlignment="1" applyProtection="1">
      <alignment horizontal="right" vertical="center"/>
    </xf>
    <xf numFmtId="0" fontId="2" fillId="24" borderId="25" xfId="0" applyFont="1" applyFill="1" applyBorder="1" applyAlignment="1" applyProtection="1">
      <alignment vertical="center"/>
    </xf>
    <xf numFmtId="166" fontId="2" fillId="24" borderId="25" xfId="82" applyNumberFormat="1" applyFont="1" applyFill="1" applyBorder="1" applyAlignment="1" applyProtection="1">
      <alignment vertical="center"/>
    </xf>
    <xf numFmtId="166" fontId="2" fillId="24" borderId="26" xfId="82" applyNumberFormat="1" applyFont="1" applyFill="1" applyBorder="1" applyAlignment="1" applyProtection="1">
      <alignment vertical="center"/>
    </xf>
    <xf numFmtId="44" fontId="2" fillId="24" borderId="24" xfId="85" applyFont="1" applyFill="1" applyBorder="1" applyAlignment="1" applyProtection="1">
      <alignment vertical="center"/>
    </xf>
    <xf numFmtId="172" fontId="2" fillId="24" borderId="27" xfId="85" applyNumberFormat="1" applyFont="1" applyFill="1" applyBorder="1" applyAlignment="1" applyProtection="1">
      <alignment vertical="center"/>
    </xf>
    <xf numFmtId="172" fontId="2" fillId="24" borderId="28" xfId="85" applyNumberFormat="1" applyFont="1" applyFill="1" applyBorder="1" applyAlignment="1" applyProtection="1">
      <alignment vertical="center"/>
    </xf>
    <xf numFmtId="44" fontId="2" fillId="24" borderId="24" xfId="85" applyNumberFormat="1" applyFont="1" applyFill="1" applyBorder="1" applyAlignment="1" applyProtection="1">
      <alignment vertical="center"/>
    </xf>
    <xf numFmtId="172" fontId="2" fillId="24" borderId="25" xfId="85" applyNumberFormat="1" applyFont="1" applyFill="1" applyBorder="1" applyAlignment="1" applyProtection="1">
      <alignment vertical="center"/>
    </xf>
    <xf numFmtId="10" fontId="2" fillId="24" borderId="29" xfId="126" applyNumberFormat="1" applyFont="1" applyFill="1" applyBorder="1" applyAlignment="1" applyProtection="1">
      <alignment vertical="center"/>
    </xf>
    <xf numFmtId="10" fontId="2" fillId="24" borderId="30" xfId="126" applyNumberFormat="1" applyFont="1" applyFill="1" applyBorder="1" applyAlignment="1" applyProtection="1">
      <alignment vertical="center"/>
    </xf>
    <xf numFmtId="172" fontId="2" fillId="24" borderId="31" xfId="85" applyNumberFormat="1" applyFont="1" applyFill="1" applyBorder="1" applyAlignment="1" applyProtection="1">
      <alignment vertical="center"/>
    </xf>
    <xf numFmtId="0" fontId="2" fillId="0" borderId="32" xfId="0" applyFont="1" applyFill="1" applyBorder="1" applyAlignment="1" applyProtection="1">
      <alignment horizontal="right" vertical="center"/>
    </xf>
    <xf numFmtId="0" fontId="2" fillId="0" borderId="33" xfId="0" applyFont="1" applyFill="1" applyBorder="1" applyAlignment="1" applyProtection="1">
      <alignment vertical="center"/>
    </xf>
    <xf numFmtId="10" fontId="2" fillId="0" borderId="33" xfId="126" applyNumberFormat="1" applyFont="1" applyFill="1" applyBorder="1" applyAlignment="1" applyProtection="1">
      <alignment vertical="center"/>
    </xf>
    <xf numFmtId="166" fontId="2" fillId="0" borderId="33" xfId="82" applyNumberFormat="1" applyFont="1" applyFill="1" applyBorder="1" applyAlignment="1" applyProtection="1">
      <alignment vertical="center"/>
    </xf>
    <xf numFmtId="166" fontId="2" fillId="0" borderId="34" xfId="82" applyNumberFormat="1" applyFont="1" applyFill="1" applyBorder="1" applyAlignment="1" applyProtection="1">
      <alignment vertical="center"/>
    </xf>
    <xf numFmtId="44" fontId="2" fillId="0" borderId="32" xfId="85" applyFont="1" applyFill="1" applyBorder="1" applyAlignment="1" applyProtection="1">
      <alignment vertical="center"/>
    </xf>
    <xf numFmtId="172" fontId="2" fillId="0" borderId="35" xfId="85" applyNumberFormat="1" applyFont="1" applyFill="1" applyBorder="1" applyAlignment="1" applyProtection="1">
      <alignment vertical="center"/>
    </xf>
    <xf numFmtId="172" fontId="2" fillId="0" borderId="0" xfId="85" applyNumberFormat="1" applyFont="1" applyFill="1" applyBorder="1" applyAlignment="1" applyProtection="1">
      <alignment vertical="center"/>
    </xf>
    <xf numFmtId="44" fontId="2" fillId="0" borderId="32" xfId="85" applyNumberFormat="1" applyFont="1" applyFill="1" applyBorder="1" applyAlignment="1" applyProtection="1">
      <alignment vertical="center"/>
    </xf>
    <xf numFmtId="172" fontId="2" fillId="0" borderId="33" xfId="85" applyNumberFormat="1" applyFont="1" applyFill="1" applyBorder="1" applyAlignment="1" applyProtection="1">
      <alignment vertical="center"/>
    </xf>
    <xf numFmtId="10" fontId="2" fillId="0" borderId="36" xfId="126" applyNumberFormat="1" applyFont="1" applyFill="1" applyBorder="1" applyAlignment="1" applyProtection="1">
      <alignment vertical="center"/>
    </xf>
    <xf numFmtId="172" fontId="2" fillId="0" borderId="37" xfId="85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" fillId="25" borderId="38" xfId="0" applyFont="1" applyFill="1" applyBorder="1" applyAlignment="1" applyProtection="1">
      <alignment horizontal="left" vertical="center"/>
    </xf>
    <xf numFmtId="0" fontId="2" fillId="25" borderId="39" xfId="0" applyFont="1" applyFill="1" applyBorder="1" applyAlignment="1" applyProtection="1">
      <alignment vertical="center"/>
    </xf>
    <xf numFmtId="44" fontId="2" fillId="25" borderId="38" xfId="85" applyFont="1" applyFill="1" applyBorder="1" applyAlignment="1" applyProtection="1">
      <alignment vertical="center"/>
    </xf>
    <xf numFmtId="172" fontId="2" fillId="25" borderId="40" xfId="85" applyNumberFormat="1" applyFont="1" applyFill="1" applyBorder="1" applyAlignment="1" applyProtection="1">
      <alignment vertical="center"/>
    </xf>
    <xf numFmtId="172" fontId="2" fillId="25" borderId="41" xfId="85" applyNumberFormat="1" applyFont="1" applyFill="1" applyBorder="1" applyAlignment="1" applyProtection="1">
      <alignment vertical="center"/>
    </xf>
    <xf numFmtId="44" fontId="2" fillId="25" borderId="38" xfId="85" applyNumberFormat="1" applyFont="1" applyFill="1" applyBorder="1" applyAlignment="1" applyProtection="1">
      <alignment vertical="center"/>
    </xf>
    <xf numFmtId="172" fontId="2" fillId="25" borderId="39" xfId="85" applyNumberFormat="1" applyFont="1" applyFill="1" applyBorder="1" applyAlignment="1" applyProtection="1">
      <alignment vertical="center"/>
    </xf>
    <xf numFmtId="10" fontId="2" fillId="25" borderId="41" xfId="126" applyNumberFormat="1" applyFont="1" applyFill="1" applyBorder="1" applyAlignment="1" applyProtection="1">
      <alignment vertical="center"/>
    </xf>
    <xf numFmtId="172" fontId="2" fillId="25" borderId="38" xfId="85" applyNumberFormat="1" applyFont="1" applyFill="1" applyBorder="1" applyAlignment="1" applyProtection="1">
      <alignment vertical="center"/>
    </xf>
    <xf numFmtId="0" fontId="2" fillId="24" borderId="11" xfId="0" applyFont="1" applyFill="1" applyBorder="1" applyAlignment="1" applyProtection="1">
      <alignment horizontal="right" vertical="center"/>
    </xf>
    <xf numFmtId="44" fontId="2" fillId="24" borderId="11" xfId="85" applyNumberFormat="1" applyFont="1" applyFill="1" applyBorder="1" applyAlignment="1" applyProtection="1">
      <alignment vertical="center"/>
    </xf>
    <xf numFmtId="172" fontId="2" fillId="24" borderId="12" xfId="85" applyNumberFormat="1" applyFont="1" applyFill="1" applyBorder="1" applyAlignment="1" applyProtection="1">
      <alignment vertical="center"/>
    </xf>
    <xf numFmtId="0" fontId="2" fillId="0" borderId="31" xfId="0" applyFont="1" applyFill="1" applyBorder="1" applyAlignment="1" applyProtection="1">
      <alignment horizontal="right" vertical="center"/>
    </xf>
    <xf numFmtId="0" fontId="2" fillId="0" borderId="42" xfId="0" applyFont="1" applyFill="1" applyBorder="1" applyAlignment="1" applyProtection="1">
      <alignment vertical="center"/>
    </xf>
    <xf numFmtId="10" fontId="2" fillId="0" borderId="42" xfId="126" applyNumberFormat="1" applyFont="1" applyFill="1" applyBorder="1" applyAlignment="1" applyProtection="1">
      <alignment vertical="center"/>
    </xf>
    <xf numFmtId="44" fontId="2" fillId="0" borderId="11" xfId="85" applyFont="1" applyFill="1" applyBorder="1" applyAlignment="1" applyProtection="1">
      <alignment vertical="center"/>
    </xf>
    <xf numFmtId="172" fontId="2" fillId="0" borderId="30" xfId="85" applyNumberFormat="1" applyFont="1" applyFill="1" applyBorder="1" applyAlignment="1" applyProtection="1">
      <alignment vertical="center"/>
    </xf>
    <xf numFmtId="172" fontId="2" fillId="0" borderId="29" xfId="85" applyNumberFormat="1" applyFont="1" applyFill="1" applyBorder="1" applyAlignment="1" applyProtection="1">
      <alignment vertical="center"/>
    </xf>
    <xf numFmtId="44" fontId="2" fillId="0" borderId="11" xfId="85" applyNumberFormat="1" applyFont="1" applyFill="1" applyBorder="1" applyAlignment="1" applyProtection="1">
      <alignment vertical="center"/>
    </xf>
    <xf numFmtId="172" fontId="2" fillId="0" borderId="42" xfId="85" applyNumberFormat="1" applyFont="1" applyFill="1" applyBorder="1" applyAlignment="1" applyProtection="1">
      <alignment vertical="center"/>
    </xf>
    <xf numFmtId="10" fontId="2" fillId="0" borderId="29" xfId="126" applyNumberFormat="1" applyFont="1" applyFill="1" applyBorder="1" applyAlignment="1" applyProtection="1">
      <alignment vertical="center"/>
    </xf>
    <xf numFmtId="10" fontId="2" fillId="0" borderId="30" xfId="126" applyNumberFormat="1" applyFont="1" applyFill="1" applyBorder="1" applyAlignment="1" applyProtection="1">
      <alignment vertical="center"/>
    </xf>
    <xf numFmtId="172" fontId="2" fillId="0" borderId="31" xfId="85" applyNumberFormat="1" applyFont="1" applyFill="1" applyBorder="1" applyAlignment="1" applyProtection="1">
      <alignment vertical="center"/>
    </xf>
    <xf numFmtId="0" fontId="2" fillId="24" borderId="31" xfId="0" applyFont="1" applyFill="1" applyBorder="1" applyAlignment="1" applyProtection="1">
      <alignment horizontal="left" vertical="center"/>
    </xf>
    <xf numFmtId="0" fontId="2" fillId="24" borderId="42" xfId="0" applyFont="1" applyFill="1" applyBorder="1" applyAlignment="1" applyProtection="1">
      <alignment vertical="center"/>
    </xf>
    <xf numFmtId="172" fontId="2" fillId="24" borderId="30" xfId="85" applyNumberFormat="1" applyFont="1" applyFill="1" applyBorder="1" applyAlignment="1" applyProtection="1">
      <alignment vertical="center"/>
    </xf>
    <xf numFmtId="172" fontId="2" fillId="24" borderId="29" xfId="85" applyNumberFormat="1" applyFont="1" applyFill="1" applyBorder="1" applyAlignment="1" applyProtection="1">
      <alignment vertical="center"/>
    </xf>
    <xf numFmtId="172" fontId="2" fillId="24" borderId="42" xfId="85" applyNumberFormat="1" applyFont="1" applyFill="1" applyBorder="1" applyAlignment="1" applyProtection="1">
      <alignment vertical="center"/>
    </xf>
    <xf numFmtId="44" fontId="2" fillId="0" borderId="31" xfId="85" applyFont="1" applyFill="1" applyBorder="1" applyAlignment="1" applyProtection="1">
      <alignment vertical="center"/>
    </xf>
    <xf numFmtId="44" fontId="2" fillId="0" borderId="31" xfId="85" applyNumberFormat="1" applyFont="1" applyFill="1" applyBorder="1" applyAlignment="1" applyProtection="1">
      <alignment vertical="center"/>
    </xf>
    <xf numFmtId="0" fontId="2" fillId="24" borderId="43" xfId="0" applyFont="1" applyFill="1" applyBorder="1" applyAlignment="1" applyProtection="1">
      <alignment horizontal="right" vertical="center"/>
    </xf>
    <xf numFmtId="0" fontId="2" fillId="24" borderId="44" xfId="0" applyFont="1" applyFill="1" applyBorder="1" applyAlignment="1" applyProtection="1">
      <alignment vertical="center"/>
    </xf>
    <xf numFmtId="44" fontId="2" fillId="24" borderId="43" xfId="85" applyFont="1" applyFill="1" applyBorder="1" applyAlignment="1" applyProtection="1">
      <alignment vertical="center"/>
    </xf>
    <xf numFmtId="172" fontId="17" fillId="24" borderId="45" xfId="85" applyNumberFormat="1" applyFont="1" applyFill="1" applyBorder="1" applyAlignment="1" applyProtection="1">
      <alignment vertical="center"/>
    </xf>
    <xf numFmtId="172" fontId="2" fillId="24" borderId="46" xfId="85" applyNumberFormat="1" applyFont="1" applyFill="1" applyBorder="1" applyAlignment="1" applyProtection="1">
      <alignment vertical="center"/>
    </xf>
    <xf numFmtId="44" fontId="2" fillId="24" borderId="43" xfId="85" applyNumberFormat="1" applyFont="1" applyFill="1" applyBorder="1" applyAlignment="1" applyProtection="1">
      <alignment vertical="center"/>
    </xf>
    <xf numFmtId="172" fontId="17" fillId="24" borderId="44" xfId="85" applyNumberFormat="1" applyFont="1" applyFill="1" applyBorder="1" applyAlignment="1" applyProtection="1">
      <alignment vertical="center"/>
    </xf>
    <xf numFmtId="10" fontId="2" fillId="24" borderId="46" xfId="126" applyNumberFormat="1" applyFont="1" applyFill="1" applyBorder="1" applyAlignment="1" applyProtection="1">
      <alignment vertical="center"/>
    </xf>
    <xf numFmtId="172" fontId="17" fillId="24" borderId="43" xfId="85" applyNumberFormat="1" applyFont="1" applyFill="1" applyBorder="1" applyAlignment="1" applyProtection="1">
      <alignment vertical="center"/>
    </xf>
    <xf numFmtId="0" fontId="2" fillId="0" borderId="47" xfId="0" applyFont="1" applyBorder="1" applyAlignment="1" applyProtection="1">
      <alignment vertical="center"/>
    </xf>
    <xf numFmtId="0" fontId="2" fillId="0" borderId="48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166" fontId="0" fillId="0" borderId="0" xfId="82" applyNumberFormat="1" applyFont="1" applyAlignment="1" applyProtection="1">
      <alignment vertical="center"/>
    </xf>
    <xf numFmtId="166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166" fontId="0" fillId="0" borderId="0" xfId="82" applyNumberFormat="1" applyFont="1" applyFill="1" applyBorder="1" applyAlignment="1" applyProtection="1">
      <alignment vertical="center"/>
    </xf>
    <xf numFmtId="43" fontId="0" fillId="0" borderId="0" xfId="82" applyFont="1" applyAlignment="1" applyProtection="1">
      <alignment vertical="center"/>
    </xf>
    <xf numFmtId="0" fontId="2" fillId="0" borderId="32" xfId="0" applyFont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2" fillId="0" borderId="32" xfId="0" applyFont="1" applyBorder="1" applyAlignment="1" applyProtection="1">
      <alignment vertical="center"/>
    </xf>
    <xf numFmtId="9" fontId="4" fillId="26" borderId="35" xfId="0" applyNumberFormat="1" applyFont="1" applyFill="1" applyBorder="1" applyAlignment="1" applyProtection="1">
      <alignment vertical="center"/>
    </xf>
    <xf numFmtId="9" fontId="11" fillId="27" borderId="51" xfId="0" applyNumberFormat="1" applyFont="1" applyFill="1" applyBorder="1" applyAlignment="1" applyProtection="1">
      <alignment vertical="center"/>
    </xf>
    <xf numFmtId="0" fontId="2" fillId="28" borderId="51" xfId="0" applyFont="1" applyFill="1" applyBorder="1" applyAlignment="1" applyProtection="1">
      <alignment vertical="center"/>
    </xf>
    <xf numFmtId="172" fontId="2" fillId="29" borderId="52" xfId="85" applyNumberFormat="1" applyFont="1" applyFill="1" applyBorder="1" applyAlignment="1" applyProtection="1">
      <alignment horizontal="center" vertical="center"/>
    </xf>
    <xf numFmtId="172" fontId="2" fillId="30" borderId="12" xfId="85" applyNumberFormat="1" applyFont="1" applyFill="1" applyBorder="1" applyAlignment="1" applyProtection="1">
      <alignment vertical="center"/>
    </xf>
    <xf numFmtId="172" fontId="2" fillId="31" borderId="12" xfId="85" applyNumberFormat="1" applyFont="1" applyFill="1" applyBorder="1" applyAlignment="1" applyProtection="1">
      <alignment vertical="center"/>
    </xf>
    <xf numFmtId="172" fontId="2" fillId="32" borderId="12" xfId="85" applyNumberFormat="1" applyFont="1" applyFill="1" applyBorder="1" applyAlignment="1" applyProtection="1">
      <alignment vertical="center"/>
    </xf>
    <xf numFmtId="0" fontId="10" fillId="33" borderId="51" xfId="0" applyFont="1" applyFill="1" applyBorder="1" applyAlignment="1" applyProtection="1">
      <alignment horizontal="center" vertical="center"/>
    </xf>
    <xf numFmtId="0" fontId="2" fillId="34" borderId="33" xfId="0" applyFont="1" applyFill="1" applyBorder="1" applyAlignment="1" applyProtection="1">
      <alignment vertical="center"/>
    </xf>
    <xf numFmtId="0" fontId="2" fillId="35" borderId="51" xfId="0" applyFont="1" applyFill="1" applyBorder="1" applyAlignment="1" applyProtection="1">
      <alignment vertical="center"/>
    </xf>
    <xf numFmtId="0" fontId="2" fillId="0" borderId="53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vertical="center"/>
    </xf>
    <xf numFmtId="10" fontId="2" fillId="0" borderId="12" xfId="126" applyNumberFormat="1" applyFont="1" applyFill="1" applyBorder="1" applyAlignment="1" applyProtection="1">
      <alignment vertical="center"/>
    </xf>
    <xf numFmtId="10" fontId="2" fillId="0" borderId="14" xfId="126" applyNumberFormat="1" applyFont="1" applyFill="1" applyBorder="1" applyAlignment="1" applyProtection="1">
      <alignment vertical="center"/>
    </xf>
    <xf numFmtId="168" fontId="2" fillId="26" borderId="12" xfId="82" applyNumberFormat="1" applyFont="1" applyFill="1" applyBorder="1" applyAlignment="1" applyProtection="1">
      <alignment vertical="center"/>
    </xf>
    <xf numFmtId="172" fontId="2" fillId="26" borderId="14" xfId="85" applyNumberFormat="1" applyFont="1" applyFill="1" applyBorder="1" applyAlignment="1" applyProtection="1">
      <alignment vertical="center"/>
    </xf>
    <xf numFmtId="44" fontId="12" fillId="26" borderId="54" xfId="85" applyNumberFormat="1" applyFont="1" applyFill="1" applyBorder="1" applyAlignment="1" applyProtection="1">
      <alignment vertical="center"/>
    </xf>
    <xf numFmtId="172" fontId="2" fillId="36" borderId="14" xfId="85" applyNumberFormat="1" applyFont="1" applyFill="1" applyBorder="1" applyAlignment="1" applyProtection="1">
      <alignment vertical="center"/>
    </xf>
    <xf numFmtId="44" fontId="12" fillId="36" borderId="54" xfId="85" applyNumberFormat="1" applyFont="1" applyFill="1" applyBorder="1" applyAlignment="1" applyProtection="1">
      <alignment vertical="center"/>
    </xf>
    <xf numFmtId="172" fontId="2" fillId="27" borderId="14" xfId="85" applyNumberFormat="1" applyFont="1" applyFill="1" applyBorder="1" applyAlignment="1" applyProtection="1">
      <alignment vertical="center"/>
    </xf>
    <xf numFmtId="44" fontId="12" fillId="27" borderId="54" xfId="85" applyNumberFormat="1" applyFont="1" applyFill="1" applyBorder="1" applyAlignment="1" applyProtection="1">
      <alignment vertical="center"/>
    </xf>
    <xf numFmtId="172" fontId="2" fillId="28" borderId="54" xfId="85" applyNumberFormat="1" applyFont="1" applyFill="1" applyBorder="1" applyAlignment="1" applyProtection="1">
      <alignment vertical="center"/>
    </xf>
    <xf numFmtId="3" fontId="2" fillId="29" borderId="11" xfId="85" applyNumberFormat="1" applyFont="1" applyFill="1" applyBorder="1" applyAlignment="1" applyProtection="1">
      <alignment vertical="center"/>
    </xf>
    <xf numFmtId="174" fontId="2" fillId="29" borderId="49" xfId="85" applyNumberFormat="1" applyFont="1" applyFill="1" applyBorder="1" applyAlignment="1" applyProtection="1">
      <alignment vertical="center"/>
    </xf>
    <xf numFmtId="3" fontId="5" fillId="31" borderId="12" xfId="85" applyNumberFormat="1" applyFont="1" applyFill="1" applyBorder="1" applyAlignment="1" applyProtection="1">
      <alignment vertical="center"/>
    </xf>
    <xf numFmtId="3" fontId="5" fillId="32" borderId="12" xfId="85" applyNumberFormat="1" applyFont="1" applyFill="1" applyBorder="1" applyAlignment="1" applyProtection="1">
      <alignment vertical="center"/>
    </xf>
    <xf numFmtId="3" fontId="10" fillId="33" borderId="54" xfId="85" applyNumberFormat="1" applyFont="1" applyFill="1" applyBorder="1" applyAlignment="1" applyProtection="1">
      <alignment horizontal="center" vertical="center"/>
    </xf>
    <xf numFmtId="3" fontId="2" fillId="34" borderId="12" xfId="85" applyNumberFormat="1" applyFont="1" applyFill="1" applyBorder="1" applyAlignment="1" applyProtection="1">
      <alignment vertical="center"/>
    </xf>
    <xf numFmtId="172" fontId="2" fillId="35" borderId="54" xfId="85" applyNumberFormat="1" applyFont="1" applyFill="1" applyBorder="1" applyAlignment="1" applyProtection="1">
      <alignment vertical="center"/>
    </xf>
    <xf numFmtId="44" fontId="2" fillId="25" borderId="55" xfId="85" applyFont="1" applyFill="1" applyBorder="1" applyAlignment="1" applyProtection="1">
      <alignment vertical="center"/>
    </xf>
    <xf numFmtId="175" fontId="2" fillId="25" borderId="14" xfId="82" applyNumberFormat="1" applyFont="1" applyFill="1" applyBorder="1" applyAlignment="1" applyProtection="1">
      <alignment vertical="center"/>
    </xf>
    <xf numFmtId="0" fontId="2" fillId="0" borderId="56" xfId="0" applyFont="1" applyFill="1" applyBorder="1" applyAlignment="1" applyProtection="1">
      <alignment horizontal="left" vertical="center"/>
    </xf>
    <xf numFmtId="172" fontId="5" fillId="26" borderId="18" xfId="85" applyNumberFormat="1" applyFont="1" applyFill="1" applyBorder="1" applyAlignment="1" applyProtection="1">
      <alignment vertical="center"/>
    </xf>
    <xf numFmtId="44" fontId="12" fillId="26" borderId="57" xfId="85" applyNumberFormat="1" applyFont="1" applyFill="1" applyBorder="1" applyAlignment="1" applyProtection="1">
      <alignment vertical="center"/>
    </xf>
    <xf numFmtId="44" fontId="12" fillId="36" borderId="57" xfId="85" applyNumberFormat="1" applyFont="1" applyFill="1" applyBorder="1" applyAlignment="1" applyProtection="1">
      <alignment vertical="center"/>
    </xf>
    <xf numFmtId="44" fontId="12" fillId="27" borderId="57" xfId="85" applyNumberFormat="1" applyFont="1" applyFill="1" applyBorder="1" applyAlignment="1" applyProtection="1">
      <alignment vertical="center"/>
    </xf>
    <xf numFmtId="172" fontId="5" fillId="28" borderId="58" xfId="85" applyNumberFormat="1" applyFont="1" applyFill="1" applyBorder="1" applyAlignment="1" applyProtection="1">
      <alignment vertical="center"/>
    </xf>
    <xf numFmtId="172" fontId="5" fillId="29" borderId="59" xfId="85" applyNumberFormat="1" applyFont="1" applyFill="1" applyBorder="1" applyAlignment="1" applyProtection="1">
      <alignment vertical="center"/>
    </xf>
    <xf numFmtId="172" fontId="5" fillId="30" borderId="19" xfId="85" applyNumberFormat="1" applyFont="1" applyFill="1" applyBorder="1" applyAlignment="1" applyProtection="1">
      <alignment vertical="center"/>
    </xf>
    <xf numFmtId="172" fontId="5" fillId="33" borderId="58" xfId="85" applyNumberFormat="1" applyFont="1" applyFill="1" applyBorder="1" applyAlignment="1" applyProtection="1">
      <alignment vertical="center"/>
    </xf>
    <xf numFmtId="172" fontId="5" fillId="34" borderId="59" xfId="85" applyNumberFormat="1" applyFont="1" applyFill="1" applyBorder="1" applyAlignment="1" applyProtection="1">
      <alignment vertical="center"/>
    </xf>
    <xf numFmtId="172" fontId="5" fillId="35" borderId="58" xfId="85" applyNumberFormat="1" applyFont="1" applyFill="1" applyBorder="1" applyAlignment="1" applyProtection="1">
      <alignment vertical="center"/>
    </xf>
    <xf numFmtId="179" fontId="2" fillId="0" borderId="60" xfId="85" applyNumberFormat="1" applyFont="1" applyFill="1" applyBorder="1" applyAlignment="1" applyProtection="1">
      <alignment horizontal="center" vertical="center"/>
    </xf>
    <xf numFmtId="176" fontId="2" fillId="0" borderId="17" xfId="82" applyNumberFormat="1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left" vertical="center"/>
    </xf>
    <xf numFmtId="172" fontId="5" fillId="34" borderId="19" xfId="85" applyNumberFormat="1" applyFon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44" fontId="12" fillId="26" borderId="61" xfId="85" applyNumberFormat="1" applyFont="1" applyFill="1" applyBorder="1" applyAlignment="1" applyProtection="1">
      <alignment vertical="center"/>
    </xf>
    <xf numFmtId="44" fontId="12" fillId="36" borderId="61" xfId="85" applyNumberFormat="1" applyFont="1" applyFill="1" applyBorder="1" applyAlignment="1" applyProtection="1">
      <alignment vertical="center"/>
    </xf>
    <xf numFmtId="172" fontId="5" fillId="29" borderId="19" xfId="85" applyNumberFormat="1" applyFont="1" applyFill="1" applyBorder="1" applyAlignment="1" applyProtection="1">
      <alignment vertical="center"/>
    </xf>
    <xf numFmtId="176" fontId="2" fillId="0" borderId="18" xfId="82" applyNumberFormat="1" applyFont="1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vertical="center"/>
    </xf>
    <xf numFmtId="172" fontId="5" fillId="29" borderId="21" xfId="85" applyNumberFormat="1" applyFont="1" applyFill="1" applyBorder="1" applyAlignment="1" applyProtection="1">
      <alignment vertical="center"/>
    </xf>
    <xf numFmtId="172" fontId="5" fillId="34" borderId="21" xfId="85" applyNumberFormat="1" applyFont="1" applyFill="1" applyBorder="1" applyAlignment="1" applyProtection="1">
      <alignment vertical="center"/>
    </xf>
    <xf numFmtId="179" fontId="2" fillId="0" borderId="63" xfId="85" applyNumberFormat="1" applyFont="1" applyFill="1" applyBorder="1" applyAlignment="1" applyProtection="1">
      <alignment horizontal="center" vertical="center"/>
    </xf>
    <xf numFmtId="176" fontId="2" fillId="0" borderId="62" xfId="82" applyNumberFormat="1" applyFont="1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vertical="center"/>
    </xf>
    <xf numFmtId="172" fontId="5" fillId="29" borderId="23" xfId="85" applyNumberFormat="1" applyFont="1" applyFill="1" applyBorder="1" applyAlignment="1" applyProtection="1">
      <alignment vertical="center"/>
    </xf>
    <xf numFmtId="172" fontId="5" fillId="34" borderId="23" xfId="85" applyNumberFormat="1" applyFont="1" applyFill="1" applyBorder="1" applyAlignment="1" applyProtection="1">
      <alignment vertical="center"/>
    </xf>
    <xf numFmtId="179" fontId="2" fillId="37" borderId="65" xfId="0" applyNumberFormat="1" applyFont="1" applyFill="1" applyBorder="1" applyAlignment="1" applyProtection="1">
      <alignment horizontal="center" vertical="center"/>
    </xf>
    <xf numFmtId="176" fontId="2" fillId="0" borderId="50" xfId="82" applyNumberFormat="1" applyFont="1" applyFill="1" applyBorder="1" applyAlignment="1" applyProtection="1">
      <alignment horizontal="center" vertical="center"/>
    </xf>
    <xf numFmtId="0" fontId="2" fillId="25" borderId="24" xfId="0" applyFont="1" applyFill="1" applyBorder="1" applyAlignment="1" applyProtection="1">
      <alignment horizontal="left" vertical="center"/>
    </xf>
    <xf numFmtId="0" fontId="2" fillId="25" borderId="27" xfId="0" applyFont="1" applyFill="1" applyBorder="1" applyAlignment="1" applyProtection="1">
      <alignment vertical="center"/>
    </xf>
    <xf numFmtId="172" fontId="2" fillId="26" borderId="27" xfId="85" applyNumberFormat="1" applyFont="1" applyFill="1" applyBorder="1" applyAlignment="1" applyProtection="1">
      <alignment vertical="center"/>
    </xf>
    <xf numFmtId="44" fontId="12" fillId="26" borderId="66" xfId="85" applyNumberFormat="1" applyFont="1" applyFill="1" applyBorder="1" applyAlignment="1" applyProtection="1">
      <alignment vertical="center"/>
    </xf>
    <xf numFmtId="44" fontId="12" fillId="36" borderId="66" xfId="85" applyNumberFormat="1" applyFont="1" applyFill="1" applyBorder="1" applyAlignment="1" applyProtection="1">
      <alignment vertical="center"/>
    </xf>
    <xf numFmtId="172" fontId="2" fillId="29" borderId="25" xfId="85" applyNumberFormat="1" applyFont="1" applyFill="1" applyBorder="1" applyAlignment="1" applyProtection="1">
      <alignment vertical="center"/>
    </xf>
    <xf numFmtId="172" fontId="2" fillId="30" borderId="25" xfId="85" applyNumberFormat="1" applyFont="1" applyFill="1" applyBorder="1" applyAlignment="1" applyProtection="1">
      <alignment vertical="center"/>
    </xf>
    <xf numFmtId="172" fontId="2" fillId="33" borderId="66" xfId="85" applyNumberFormat="1" applyFont="1" applyFill="1" applyBorder="1" applyAlignment="1" applyProtection="1">
      <alignment vertical="center"/>
    </xf>
    <xf numFmtId="172" fontId="2" fillId="34" borderId="25" xfId="85" applyNumberFormat="1" applyFont="1" applyFill="1" applyBorder="1" applyAlignment="1" applyProtection="1">
      <alignment vertical="center"/>
    </xf>
    <xf numFmtId="172" fontId="2" fillId="35" borderId="66" xfId="85" applyNumberFormat="1" applyFont="1" applyFill="1" applyBorder="1" applyAlignment="1" applyProtection="1">
      <alignment vertical="center"/>
    </xf>
    <xf numFmtId="179" fontId="2" fillId="24" borderId="48" xfId="0" applyNumberFormat="1" applyFont="1" applyFill="1" applyBorder="1" applyAlignment="1" applyProtection="1">
      <alignment horizontal="center" vertical="center"/>
    </xf>
    <xf numFmtId="176" fontId="2" fillId="25" borderId="27" xfId="82" applyNumberFormat="1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left" vertical="center"/>
    </xf>
    <xf numFmtId="0" fontId="2" fillId="0" borderId="35" xfId="0" applyFont="1" applyFill="1" applyBorder="1" applyAlignment="1" applyProtection="1">
      <alignment vertical="center"/>
    </xf>
    <xf numFmtId="10" fontId="2" fillId="0" borderId="35" xfId="126" applyNumberFormat="1" applyFont="1" applyFill="1" applyBorder="1" applyAlignment="1" applyProtection="1">
      <alignment vertical="center"/>
    </xf>
    <xf numFmtId="172" fontId="2" fillId="26" borderId="35" xfId="85" applyNumberFormat="1" applyFont="1" applyFill="1" applyBorder="1" applyAlignment="1" applyProtection="1">
      <alignment vertical="center"/>
    </xf>
    <xf numFmtId="44" fontId="12" fillId="26" borderId="51" xfId="85" applyNumberFormat="1" applyFont="1" applyFill="1" applyBorder="1" applyAlignment="1" applyProtection="1">
      <alignment vertical="center"/>
    </xf>
    <xf numFmtId="172" fontId="2" fillId="36" borderId="35" xfId="85" applyNumberFormat="1" applyFont="1" applyFill="1" applyBorder="1" applyAlignment="1" applyProtection="1">
      <alignment vertical="center"/>
    </xf>
    <xf numFmtId="44" fontId="12" fillId="36" borderId="51" xfId="85" applyNumberFormat="1" applyFont="1" applyFill="1" applyBorder="1" applyAlignment="1" applyProtection="1">
      <alignment vertical="center"/>
    </xf>
    <xf numFmtId="172" fontId="2" fillId="27" borderId="35" xfId="85" applyNumberFormat="1" applyFont="1" applyFill="1" applyBorder="1" applyAlignment="1" applyProtection="1">
      <alignment vertical="center"/>
    </xf>
    <xf numFmtId="44" fontId="12" fillId="27" borderId="51" xfId="85" applyNumberFormat="1" applyFont="1" applyFill="1" applyBorder="1" applyAlignment="1" applyProtection="1">
      <alignment vertical="center"/>
    </xf>
    <xf numFmtId="172" fontId="2" fillId="28" borderId="51" xfId="85" applyNumberFormat="1" applyFont="1" applyFill="1" applyBorder="1" applyAlignment="1" applyProtection="1">
      <alignment vertical="center"/>
    </xf>
    <xf numFmtId="172" fontId="2" fillId="29" borderId="33" xfId="85" applyNumberFormat="1" applyFont="1" applyFill="1" applyBorder="1" applyAlignment="1" applyProtection="1">
      <alignment vertical="center"/>
    </xf>
    <xf numFmtId="172" fontId="2" fillId="30" borderId="33" xfId="85" applyNumberFormat="1" applyFont="1" applyFill="1" applyBorder="1" applyAlignment="1" applyProtection="1">
      <alignment vertical="center"/>
    </xf>
    <xf numFmtId="172" fontId="2" fillId="33" borderId="51" xfId="85" applyNumberFormat="1" applyFont="1" applyFill="1" applyBorder="1" applyAlignment="1" applyProtection="1">
      <alignment vertical="center"/>
    </xf>
    <xf numFmtId="172" fontId="2" fillId="34" borderId="33" xfId="85" applyNumberFormat="1" applyFont="1" applyFill="1" applyBorder="1" applyAlignment="1" applyProtection="1">
      <alignment vertical="center"/>
    </xf>
    <xf numFmtId="172" fontId="2" fillId="35" borderId="51" xfId="85" applyNumberFormat="1" applyFont="1" applyFill="1" applyBorder="1" applyAlignment="1" applyProtection="1">
      <alignment vertical="center"/>
    </xf>
    <xf numFmtId="179" fontId="2" fillId="0" borderId="53" xfId="0" applyNumberFormat="1" applyFont="1" applyFill="1" applyBorder="1" applyAlignment="1" applyProtection="1">
      <alignment horizontal="center" vertical="center"/>
    </xf>
    <xf numFmtId="176" fontId="2" fillId="0" borderId="35" xfId="82" applyNumberFormat="1" applyFont="1" applyFill="1" applyBorder="1" applyAlignment="1" applyProtection="1">
      <alignment horizontal="center" vertical="center"/>
    </xf>
    <xf numFmtId="0" fontId="4" fillId="38" borderId="38" xfId="0" applyFont="1" applyFill="1" applyBorder="1" applyAlignment="1" applyProtection="1">
      <alignment horizontal="left" vertical="center"/>
    </xf>
    <xf numFmtId="0" fontId="2" fillId="38" borderId="40" xfId="0" applyFont="1" applyFill="1" applyBorder="1" applyAlignment="1" applyProtection="1">
      <alignment vertical="center"/>
    </xf>
    <xf numFmtId="10" fontId="2" fillId="38" borderId="39" xfId="126" applyNumberFormat="1" applyFont="1" applyFill="1" applyBorder="1" applyAlignment="1" applyProtection="1">
      <alignment vertical="center"/>
    </xf>
    <xf numFmtId="10" fontId="2" fillId="38" borderId="40" xfId="126" applyNumberFormat="1" applyFont="1" applyFill="1" applyBorder="1" applyAlignment="1" applyProtection="1">
      <alignment vertical="center"/>
    </xf>
    <xf numFmtId="10" fontId="2" fillId="26" borderId="38" xfId="126" applyNumberFormat="1" applyFont="1" applyFill="1" applyBorder="1" applyAlignment="1" applyProtection="1">
      <alignment vertical="center"/>
    </xf>
    <xf numFmtId="172" fontId="2" fillId="26" borderId="40" xfId="85" applyNumberFormat="1" applyFont="1" applyFill="1" applyBorder="1" applyAlignment="1" applyProtection="1">
      <alignment vertical="center"/>
    </xf>
    <xf numFmtId="44" fontId="12" fillId="26" borderId="67" xfId="85" applyNumberFormat="1" applyFont="1" applyFill="1" applyBorder="1" applyAlignment="1" applyProtection="1">
      <alignment vertical="center"/>
    </xf>
    <xf numFmtId="172" fontId="2" fillId="36" borderId="40" xfId="85" applyNumberFormat="1" applyFont="1" applyFill="1" applyBorder="1" applyAlignment="1" applyProtection="1">
      <alignment vertical="center"/>
    </xf>
    <xf numFmtId="44" fontId="12" fillId="36" borderId="67" xfId="85" applyNumberFormat="1" applyFont="1" applyFill="1" applyBorder="1" applyAlignment="1" applyProtection="1">
      <alignment vertical="center"/>
    </xf>
    <xf numFmtId="172" fontId="2" fillId="27" borderId="40" xfId="85" applyNumberFormat="1" applyFont="1" applyFill="1" applyBorder="1" applyAlignment="1" applyProtection="1">
      <alignment vertical="center"/>
    </xf>
    <xf numFmtId="44" fontId="12" fillId="27" borderId="67" xfId="85" applyNumberFormat="1" applyFont="1" applyFill="1" applyBorder="1" applyAlignment="1" applyProtection="1">
      <alignment vertical="center"/>
    </xf>
    <xf numFmtId="172" fontId="2" fillId="28" borderId="67" xfId="85" applyNumberFormat="1" applyFont="1" applyFill="1" applyBorder="1" applyAlignment="1" applyProtection="1">
      <alignment vertical="center"/>
    </xf>
    <xf numFmtId="172" fontId="2" fillId="29" borderId="39" xfId="85" applyNumberFormat="1" applyFont="1" applyFill="1" applyBorder="1" applyAlignment="1" applyProtection="1">
      <alignment vertical="center"/>
    </xf>
    <xf numFmtId="172" fontId="2" fillId="30" borderId="39" xfId="85" applyNumberFormat="1" applyFont="1" applyFill="1" applyBorder="1" applyAlignment="1" applyProtection="1">
      <alignment vertical="center"/>
    </xf>
    <xf numFmtId="172" fontId="2" fillId="33" borderId="67" xfId="85" applyNumberFormat="1" applyFont="1" applyFill="1" applyBorder="1" applyAlignment="1" applyProtection="1">
      <alignment vertical="center"/>
    </xf>
    <xf numFmtId="172" fontId="2" fillId="34" borderId="39" xfId="85" applyNumberFormat="1" applyFont="1" applyFill="1" applyBorder="1" applyAlignment="1" applyProtection="1">
      <alignment vertical="center"/>
    </xf>
    <xf numFmtId="172" fontId="2" fillId="35" borderId="67" xfId="85" applyNumberFormat="1" applyFont="1" applyFill="1" applyBorder="1" applyAlignment="1" applyProtection="1">
      <alignment vertical="center"/>
    </xf>
    <xf numFmtId="179" fontId="2" fillId="38" borderId="68" xfId="0" applyNumberFormat="1" applyFont="1" applyFill="1" applyBorder="1" applyAlignment="1" applyProtection="1">
      <alignment horizontal="center" vertical="center"/>
    </xf>
    <xf numFmtId="176" fontId="2" fillId="38" borderId="40" xfId="82" applyNumberFormat="1" applyFont="1" applyFill="1" applyBorder="1" applyAlignment="1" applyProtection="1">
      <alignment horizontal="center" vertical="center"/>
    </xf>
    <xf numFmtId="179" fontId="2" fillId="37" borderId="60" xfId="0" applyNumberFormat="1" applyFont="1" applyFill="1" applyBorder="1" applyAlignment="1" applyProtection="1">
      <alignment horizontal="center" vertical="center"/>
    </xf>
    <xf numFmtId="179" fontId="2" fillId="37" borderId="63" xfId="0" applyNumberFormat="1" applyFont="1" applyFill="1" applyBorder="1" applyAlignment="1" applyProtection="1">
      <alignment horizontal="center" vertical="center"/>
    </xf>
    <xf numFmtId="172" fontId="5" fillId="35" borderId="51" xfId="85" applyNumberFormat="1" applyFont="1" applyFill="1" applyBorder="1" applyAlignment="1" applyProtection="1">
      <alignment vertical="center"/>
    </xf>
    <xf numFmtId="0" fontId="2" fillId="25" borderId="11" xfId="0" applyFont="1" applyFill="1" applyBorder="1" applyAlignment="1" applyProtection="1">
      <alignment horizontal="left" vertical="center"/>
    </xf>
    <xf numFmtId="0" fontId="2" fillId="25" borderId="14" xfId="0" applyFont="1" applyFill="1" applyBorder="1" applyAlignment="1" applyProtection="1">
      <alignment vertical="center"/>
    </xf>
    <xf numFmtId="172" fontId="2" fillId="29" borderId="12" xfId="85" applyNumberFormat="1" applyFont="1" applyFill="1" applyBorder="1" applyAlignment="1" applyProtection="1">
      <alignment vertical="center"/>
    </xf>
    <xf numFmtId="172" fontId="2" fillId="33" borderId="54" xfId="85" applyNumberFormat="1" applyFont="1" applyFill="1" applyBorder="1" applyAlignment="1" applyProtection="1">
      <alignment vertical="center"/>
    </xf>
    <xf numFmtId="172" fontId="2" fillId="34" borderId="12" xfId="85" applyNumberFormat="1" applyFont="1" applyFill="1" applyBorder="1" applyAlignment="1" applyProtection="1">
      <alignment vertical="center"/>
    </xf>
    <xf numFmtId="0" fontId="2" fillId="0" borderId="56" xfId="0" applyFont="1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178" fontId="2" fillId="24" borderId="48" xfId="0" applyNumberFormat="1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vertical="center"/>
    </xf>
    <xf numFmtId="43" fontId="0" fillId="36" borderId="58" xfId="0" applyNumberFormat="1" applyFill="1" applyBorder="1" applyAlignment="1" applyProtection="1">
      <alignment vertical="center"/>
    </xf>
    <xf numFmtId="43" fontId="0" fillId="27" borderId="58" xfId="0" applyNumberFormat="1" applyFill="1" applyBorder="1" applyAlignment="1" applyProtection="1">
      <alignment vertical="center"/>
    </xf>
    <xf numFmtId="172" fontId="2" fillId="28" borderId="58" xfId="85" applyNumberFormat="1" applyFont="1" applyFill="1" applyBorder="1" applyAlignment="1" applyProtection="1">
      <alignment vertical="center"/>
    </xf>
    <xf numFmtId="172" fontId="2" fillId="29" borderId="60" xfId="85" applyNumberFormat="1" applyFont="1" applyFill="1" applyBorder="1" applyAlignment="1" applyProtection="1">
      <alignment vertical="center"/>
    </xf>
    <xf numFmtId="172" fontId="2" fillId="31" borderId="19" xfId="85" applyNumberFormat="1" applyFont="1" applyFill="1" applyBorder="1" applyAlignment="1" applyProtection="1">
      <alignment vertical="center"/>
    </xf>
    <xf numFmtId="172" fontId="2" fillId="33" borderId="58" xfId="85" applyNumberFormat="1" applyFont="1" applyFill="1" applyBorder="1" applyAlignment="1" applyProtection="1">
      <alignment vertical="center"/>
    </xf>
    <xf numFmtId="172" fontId="2" fillId="34" borderId="19" xfId="85" applyNumberFormat="1" applyFont="1" applyFill="1" applyBorder="1" applyAlignment="1" applyProtection="1">
      <alignment vertical="center"/>
    </xf>
    <xf numFmtId="172" fontId="2" fillId="35" borderId="58" xfId="85" applyNumberFormat="1" applyFont="1" applyFill="1" applyBorder="1" applyAlignment="1" applyProtection="1">
      <alignment vertical="center"/>
    </xf>
    <xf numFmtId="43" fontId="0" fillId="37" borderId="60" xfId="0" applyNumberFormat="1" applyFill="1" applyBorder="1" applyAlignment="1" applyProtection="1">
      <alignment vertical="center"/>
    </xf>
    <xf numFmtId="43" fontId="0" fillId="0" borderId="18" xfId="82" applyFont="1" applyFill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horizontal="right" vertical="center"/>
    </xf>
    <xf numFmtId="172" fontId="6" fillId="26" borderId="14" xfId="85" applyNumberFormat="1" applyFont="1" applyFill="1" applyBorder="1" applyAlignment="1" applyProtection="1">
      <alignment vertical="center"/>
    </xf>
    <xf numFmtId="172" fontId="6" fillId="26" borderId="54" xfId="0" applyNumberFormat="1" applyFont="1" applyFill="1" applyBorder="1" applyAlignment="1" applyProtection="1">
      <alignment vertical="center"/>
    </xf>
    <xf numFmtId="172" fontId="6" fillId="36" borderId="14" xfId="85" applyNumberFormat="1" applyFont="1" applyFill="1" applyBorder="1" applyAlignment="1" applyProtection="1">
      <alignment vertical="center"/>
    </xf>
    <xf numFmtId="172" fontId="6" fillId="36" borderId="54" xfId="85" applyNumberFormat="1" applyFont="1" applyFill="1" applyBorder="1" applyAlignment="1" applyProtection="1">
      <alignment vertical="center"/>
    </xf>
    <xf numFmtId="172" fontId="6" fillId="27" borderId="14" xfId="85" applyNumberFormat="1" applyFont="1" applyFill="1" applyBorder="1" applyAlignment="1" applyProtection="1">
      <alignment vertical="center"/>
    </xf>
    <xf numFmtId="172" fontId="6" fillId="27" borderId="54" xfId="85" applyNumberFormat="1" applyFont="1" applyFill="1" applyBorder="1" applyAlignment="1" applyProtection="1">
      <alignment vertical="center"/>
    </xf>
    <xf numFmtId="172" fontId="4" fillId="28" borderId="54" xfId="85" applyNumberFormat="1" applyFont="1" applyFill="1" applyBorder="1" applyAlignment="1" applyProtection="1">
      <alignment horizontal="right" vertical="center"/>
    </xf>
    <xf numFmtId="172" fontId="4" fillId="29" borderId="55" xfId="85" applyNumberFormat="1" applyFont="1" applyFill="1" applyBorder="1" applyAlignment="1" applyProtection="1">
      <alignment horizontal="right" vertical="center"/>
    </xf>
    <xf numFmtId="172" fontId="4" fillId="31" borderId="12" xfId="85" applyNumberFormat="1" applyFont="1" applyFill="1" applyBorder="1" applyAlignment="1" applyProtection="1">
      <alignment vertical="center"/>
    </xf>
    <xf numFmtId="172" fontId="4" fillId="33" borderId="54" xfId="85" applyNumberFormat="1" applyFont="1" applyFill="1" applyBorder="1" applyAlignment="1" applyProtection="1">
      <alignment vertical="center"/>
    </xf>
    <xf numFmtId="172" fontId="4" fillId="34" borderId="12" xfId="85" applyNumberFormat="1" applyFont="1" applyFill="1" applyBorder="1" applyAlignment="1" applyProtection="1">
      <alignment vertical="center"/>
    </xf>
    <xf numFmtId="172" fontId="4" fillId="35" borderId="54" xfId="0" applyNumberFormat="1" applyFont="1" applyFill="1" applyBorder="1" applyAlignment="1" applyProtection="1">
      <alignment vertical="center"/>
    </xf>
    <xf numFmtId="0" fontId="4" fillId="25" borderId="55" xfId="0" applyFont="1" applyFill="1" applyBorder="1" applyAlignment="1" applyProtection="1">
      <alignment vertical="center"/>
    </xf>
    <xf numFmtId="0" fontId="2" fillId="0" borderId="69" xfId="0" applyFont="1" applyBorder="1" applyAlignment="1" applyProtection="1">
      <alignment vertical="center"/>
    </xf>
    <xf numFmtId="0" fontId="6" fillId="0" borderId="70" xfId="0" applyFont="1" applyBorder="1" applyAlignment="1" applyProtection="1">
      <alignment horizontal="right" vertical="center"/>
    </xf>
    <xf numFmtId="172" fontId="6" fillId="26" borderId="27" xfId="85" applyNumberFormat="1" applyFont="1" applyFill="1" applyBorder="1" applyAlignment="1" applyProtection="1">
      <alignment vertical="center"/>
    </xf>
    <xf numFmtId="0" fontId="2" fillId="26" borderId="10" xfId="0" applyFont="1" applyFill="1" applyBorder="1" applyAlignment="1" applyProtection="1">
      <alignment vertical="center"/>
    </xf>
    <xf numFmtId="172" fontId="6" fillId="36" borderId="27" xfId="85" applyNumberFormat="1" applyFont="1" applyFill="1" applyBorder="1" applyAlignment="1" applyProtection="1">
      <alignment vertical="center"/>
    </xf>
    <xf numFmtId="172" fontId="6" fillId="36" borderId="10" xfId="85" applyNumberFormat="1" applyFont="1" applyFill="1" applyBorder="1" applyAlignment="1" applyProtection="1">
      <alignment vertical="center"/>
    </xf>
    <xf numFmtId="172" fontId="6" fillId="27" borderId="27" xfId="85" applyNumberFormat="1" applyFont="1" applyFill="1" applyBorder="1" applyAlignment="1" applyProtection="1">
      <alignment vertical="center"/>
    </xf>
    <xf numFmtId="172" fontId="6" fillId="27" borderId="10" xfId="85" applyNumberFormat="1" applyFont="1" applyFill="1" applyBorder="1" applyAlignment="1" applyProtection="1">
      <alignment vertical="center"/>
    </xf>
    <xf numFmtId="172" fontId="4" fillId="28" borderId="66" xfId="85" applyNumberFormat="1" applyFont="1" applyFill="1" applyBorder="1" applyAlignment="1" applyProtection="1">
      <alignment horizontal="right" vertical="center"/>
    </xf>
    <xf numFmtId="0" fontId="2" fillId="29" borderId="71" xfId="0" applyFont="1" applyFill="1" applyBorder="1" applyAlignment="1" applyProtection="1">
      <alignment vertical="center"/>
    </xf>
    <xf numFmtId="0" fontId="2" fillId="31" borderId="72" xfId="0" applyFont="1" applyFill="1" applyBorder="1" applyAlignment="1" applyProtection="1">
      <alignment vertical="center"/>
    </xf>
    <xf numFmtId="172" fontId="2" fillId="32" borderId="72" xfId="85" applyNumberFormat="1" applyFont="1" applyFill="1" applyBorder="1" applyAlignment="1" applyProtection="1">
      <alignment horizontal="right" vertical="center"/>
    </xf>
    <xf numFmtId="0" fontId="2" fillId="33" borderId="10" xfId="0" applyFont="1" applyFill="1" applyBorder="1" applyAlignment="1" applyProtection="1">
      <alignment vertical="center"/>
    </xf>
    <xf numFmtId="0" fontId="2" fillId="34" borderId="72" xfId="0" applyFont="1" applyFill="1" applyBorder="1" applyAlignment="1" applyProtection="1">
      <alignment vertical="center"/>
    </xf>
    <xf numFmtId="0" fontId="2" fillId="35" borderId="10" xfId="0" applyFont="1" applyFill="1" applyBorder="1" applyAlignment="1" applyProtection="1">
      <alignment vertical="center"/>
    </xf>
    <xf numFmtId="0" fontId="2" fillId="0" borderId="70" xfId="0" applyFont="1" applyBorder="1" applyAlignment="1" applyProtection="1">
      <alignment vertical="center"/>
    </xf>
    <xf numFmtId="174" fontId="0" fillId="0" borderId="0" xfId="0" applyNumberFormat="1" applyAlignment="1" applyProtection="1">
      <alignment vertical="center"/>
    </xf>
    <xf numFmtId="172" fontId="0" fillId="0" borderId="0" xfId="0" applyNumberFormat="1" applyAlignment="1" applyProtection="1">
      <alignment vertical="center"/>
    </xf>
    <xf numFmtId="172" fontId="0" fillId="0" borderId="0" xfId="0" applyNumberFormat="1" applyFill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167" fontId="2" fillId="0" borderId="0" xfId="126" applyNumberFormat="1" applyFont="1" applyBorder="1" applyAlignment="1" applyProtection="1">
      <alignment vertical="center"/>
    </xf>
    <xf numFmtId="174" fontId="5" fillId="0" borderId="0" xfId="85" applyNumberFormat="1" applyFont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172" fontId="3" fillId="0" borderId="0" xfId="0" applyNumberFormat="1" applyFont="1" applyFill="1" applyAlignment="1" applyProtection="1">
      <alignment vertical="center"/>
    </xf>
    <xf numFmtId="172" fontId="10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9" fontId="7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10" fontId="7" fillId="0" borderId="0" xfId="82" applyNumberFormat="1" applyFont="1" applyBorder="1" applyAlignment="1" applyProtection="1">
      <alignment horizontal="center" vertical="center"/>
    </xf>
    <xf numFmtId="0" fontId="2" fillId="0" borderId="73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0" fillId="0" borderId="74" xfId="0" applyBorder="1" applyAlignment="1" applyProtection="1">
      <alignment horizontal="center" vertical="center" wrapText="1"/>
    </xf>
    <xf numFmtId="166" fontId="0" fillId="0" borderId="33" xfId="82" applyNumberFormat="1" applyFont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33" xfId="0" applyFill="1" applyBorder="1" applyAlignment="1" applyProtection="1">
      <alignment horizontal="center" vertical="center" wrapText="1"/>
    </xf>
    <xf numFmtId="0" fontId="0" fillId="0" borderId="35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2" fillId="0" borderId="33" xfId="0" applyFont="1" applyBorder="1" applyAlignment="1" applyProtection="1">
      <alignment horizontal="center" vertical="center"/>
    </xf>
    <xf numFmtId="166" fontId="0" fillId="0" borderId="12" xfId="82" applyNumberFormat="1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  <xf numFmtId="10" fontId="2" fillId="0" borderId="12" xfId="126" applyNumberFormat="1" applyFont="1" applyBorder="1" applyAlignment="1" applyProtection="1">
      <alignment vertical="center"/>
    </xf>
    <xf numFmtId="166" fontId="2" fillId="0" borderId="12" xfId="0" applyNumberFormat="1" applyFont="1" applyBorder="1" applyAlignment="1" applyProtection="1">
      <alignment vertical="center"/>
    </xf>
    <xf numFmtId="167" fontId="2" fillId="0" borderId="14" xfId="126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right" vertical="center"/>
    </xf>
    <xf numFmtId="10" fontId="5" fillId="0" borderId="59" xfId="126" applyNumberFormat="1" applyFont="1" applyFill="1" applyBorder="1" applyAlignment="1" applyProtection="1">
      <alignment vertical="center"/>
    </xf>
    <xf numFmtId="167" fontId="5" fillId="0" borderId="0" xfId="126" applyNumberFormat="1" applyFont="1" applyFill="1" applyBorder="1" applyAlignment="1" applyProtection="1">
      <alignment vertical="center"/>
    </xf>
    <xf numFmtId="166" fontId="5" fillId="0" borderId="12" xfId="0" applyNumberFormat="1" applyFont="1" applyBorder="1" applyAlignment="1" applyProtection="1">
      <alignment vertical="center"/>
    </xf>
    <xf numFmtId="0" fontId="2" fillId="0" borderId="16" xfId="0" applyFont="1" applyFill="1" applyBorder="1" applyAlignment="1" applyProtection="1">
      <alignment horizontal="right" vertical="center"/>
    </xf>
    <xf numFmtId="10" fontId="5" fillId="0" borderId="21" xfId="126" applyNumberFormat="1" applyFont="1" applyFill="1" applyBorder="1" applyAlignment="1" applyProtection="1">
      <alignment vertical="center"/>
    </xf>
    <xf numFmtId="166" fontId="0" fillId="0" borderId="21" xfId="0" applyNumberFormat="1" applyBorder="1" applyAlignment="1" applyProtection="1">
      <alignment vertical="center"/>
    </xf>
    <xf numFmtId="167" fontId="0" fillId="0" borderId="62" xfId="126" applyNumberFormat="1" applyFont="1" applyBorder="1" applyAlignment="1" applyProtection="1">
      <alignment vertical="center"/>
    </xf>
    <xf numFmtId="167" fontId="0" fillId="0" borderId="0" xfId="126" applyNumberFormat="1" applyFont="1" applyBorder="1" applyAlignment="1" applyProtection="1">
      <alignment vertical="center"/>
    </xf>
    <xf numFmtId="10" fontId="2" fillId="38" borderId="25" xfId="126" applyNumberFormat="1" applyFont="1" applyFill="1" applyBorder="1" applyAlignment="1" applyProtection="1">
      <alignment vertical="center"/>
    </xf>
    <xf numFmtId="166" fontId="2" fillId="38" borderId="25" xfId="82" applyNumberFormat="1" applyFont="1" applyFill="1" applyBorder="1" applyAlignment="1" applyProtection="1">
      <alignment vertical="center"/>
    </xf>
    <xf numFmtId="10" fontId="2" fillId="38" borderId="27" xfId="126" applyNumberFormat="1" applyFont="1" applyFill="1" applyBorder="1" applyAlignment="1" applyProtection="1">
      <alignment vertical="center"/>
    </xf>
    <xf numFmtId="10" fontId="2" fillId="0" borderId="0" xfId="126" applyNumberFormat="1" applyFont="1" applyBorder="1" applyAlignment="1" applyProtection="1">
      <alignment vertical="center"/>
    </xf>
    <xf numFmtId="10" fontId="2" fillId="0" borderId="0" xfId="126" applyNumberFormat="1" applyFont="1" applyFill="1" applyBorder="1" applyAlignment="1" applyProtection="1">
      <alignment vertical="center"/>
    </xf>
    <xf numFmtId="166" fontId="5" fillId="0" borderId="76" xfId="0" applyNumberFormat="1" applyFont="1" applyBorder="1" applyAlignment="1" applyProtection="1">
      <alignment vertical="center"/>
    </xf>
    <xf numFmtId="0" fontId="4" fillId="24" borderId="38" xfId="0" applyFont="1" applyFill="1" applyBorder="1" applyAlignment="1" applyProtection="1">
      <alignment horizontal="left" vertical="center"/>
    </xf>
    <xf numFmtId="0" fontId="2" fillId="24" borderId="39" xfId="0" applyFont="1" applyFill="1" applyBorder="1" applyAlignment="1" applyProtection="1">
      <alignment vertical="center"/>
    </xf>
    <xf numFmtId="166" fontId="2" fillId="38" borderId="39" xfId="82" applyNumberFormat="1" applyFont="1" applyFill="1" applyBorder="1" applyAlignment="1" applyProtection="1">
      <alignment vertical="center"/>
    </xf>
    <xf numFmtId="166" fontId="5" fillId="25" borderId="75" xfId="0" applyNumberFormat="1" applyFont="1" applyFill="1" applyBorder="1" applyAlignment="1" applyProtection="1">
      <alignment vertical="center"/>
    </xf>
    <xf numFmtId="10" fontId="2" fillId="38" borderId="12" xfId="126" applyNumberFormat="1" applyFont="1" applyFill="1" applyBorder="1" applyAlignment="1" applyProtection="1">
      <alignment vertical="center"/>
    </xf>
    <xf numFmtId="166" fontId="2" fillId="38" borderId="12" xfId="82" applyNumberFormat="1" applyFont="1" applyFill="1" applyBorder="1" applyAlignment="1" applyProtection="1">
      <alignment vertical="center"/>
    </xf>
    <xf numFmtId="10" fontId="2" fillId="38" borderId="14" xfId="126" applyNumberFormat="1" applyFont="1" applyFill="1" applyBorder="1" applyAlignment="1" applyProtection="1">
      <alignment vertical="center"/>
    </xf>
    <xf numFmtId="166" fontId="2" fillId="25" borderId="12" xfId="0" applyNumberFormat="1" applyFont="1" applyFill="1" applyBorder="1" applyAlignment="1" applyProtection="1">
      <alignment vertical="center"/>
    </xf>
    <xf numFmtId="166" fontId="0" fillId="0" borderId="59" xfId="0" applyNumberFormat="1" applyBorder="1" applyAlignment="1" applyProtection="1">
      <alignment vertical="center"/>
    </xf>
    <xf numFmtId="167" fontId="0" fillId="0" borderId="17" xfId="126" applyNumberFormat="1" applyFont="1" applyBorder="1" applyAlignment="1" applyProtection="1">
      <alignment vertical="center"/>
    </xf>
    <xf numFmtId="166" fontId="2" fillId="0" borderId="42" xfId="82" applyNumberFormat="1" applyFont="1" applyFill="1" applyBorder="1" applyAlignment="1" applyProtection="1">
      <alignment vertical="center"/>
    </xf>
    <xf numFmtId="166" fontId="2" fillId="0" borderId="29" xfId="82" applyNumberFormat="1" applyFont="1" applyFill="1" applyBorder="1" applyAlignment="1" applyProtection="1">
      <alignment vertical="center"/>
    </xf>
    <xf numFmtId="166" fontId="2" fillId="24" borderId="42" xfId="82" applyNumberFormat="1" applyFont="1" applyFill="1" applyBorder="1" applyAlignment="1" applyProtection="1">
      <alignment vertical="center"/>
    </xf>
    <xf numFmtId="166" fontId="2" fillId="24" borderId="29" xfId="82" applyNumberFormat="1" applyFont="1" applyFill="1" applyBorder="1" applyAlignment="1" applyProtection="1">
      <alignment vertical="center"/>
    </xf>
    <xf numFmtId="10" fontId="2" fillId="0" borderId="42" xfId="126" applyNumberFormat="1" applyFont="1" applyBorder="1" applyAlignment="1" applyProtection="1">
      <alignment vertical="center"/>
    </xf>
    <xf numFmtId="166" fontId="2" fillId="0" borderId="12" xfId="82" applyNumberFormat="1" applyFont="1" applyFill="1" applyBorder="1" applyAlignment="1" applyProtection="1">
      <alignment vertical="center"/>
    </xf>
    <xf numFmtId="0" fontId="2" fillId="24" borderId="24" xfId="0" applyFont="1" applyFill="1" applyBorder="1" applyAlignment="1" applyProtection="1">
      <alignment horizontal="left" vertical="center"/>
    </xf>
    <xf numFmtId="166" fontId="2" fillId="24" borderId="28" xfId="82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10" fontId="0" fillId="0" borderId="0" xfId="0" applyNumberFormat="1" applyAlignment="1" applyProtection="1">
      <alignment vertical="center"/>
    </xf>
    <xf numFmtId="166" fontId="16" fillId="0" borderId="0" xfId="82" applyNumberFormat="1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0" fontId="7" fillId="0" borderId="0" xfId="82" applyNumberFormat="1" applyFont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 wrapText="1"/>
    </xf>
    <xf numFmtId="0" fontId="2" fillId="0" borderId="78" xfId="0" applyFont="1" applyBorder="1" applyAlignment="1" applyProtection="1">
      <alignment horizontal="center" vertical="center" wrapText="1"/>
    </xf>
    <xf numFmtId="166" fontId="2" fillId="24" borderId="14" xfId="82" applyNumberFormat="1" applyFont="1" applyFill="1" applyBorder="1" applyAlignment="1" applyProtection="1">
      <alignment vertical="center"/>
    </xf>
    <xf numFmtId="0" fontId="2" fillId="0" borderId="79" xfId="0" applyFont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2" fillId="0" borderId="51" xfId="0" applyFont="1" applyBorder="1" applyAlignment="1" applyProtection="1">
      <alignment vertical="center"/>
    </xf>
    <xf numFmtId="166" fontId="2" fillId="25" borderId="54" xfId="82" applyNumberFormat="1" applyFont="1" applyFill="1" applyBorder="1" applyAlignment="1" applyProtection="1">
      <alignment vertical="center"/>
    </xf>
    <xf numFmtId="166" fontId="0" fillId="0" borderId="58" xfId="82" applyNumberFormat="1" applyFont="1" applyFill="1" applyBorder="1" applyAlignment="1" applyProtection="1">
      <alignment vertical="center"/>
    </xf>
    <xf numFmtId="166" fontId="2" fillId="24" borderId="66" xfId="82" applyNumberFormat="1" applyFont="1" applyFill="1" applyBorder="1" applyAlignment="1" applyProtection="1">
      <alignment vertical="center"/>
    </xf>
    <xf numFmtId="166" fontId="2" fillId="0" borderId="51" xfId="82" applyNumberFormat="1" applyFont="1" applyFill="1" applyBorder="1" applyAlignment="1" applyProtection="1">
      <alignment vertical="center"/>
    </xf>
    <xf numFmtId="166" fontId="2" fillId="38" borderId="67" xfId="82" applyNumberFormat="1" applyFont="1" applyFill="1" applyBorder="1" applyAlignment="1" applyProtection="1">
      <alignment vertical="center"/>
    </xf>
    <xf numFmtId="166" fontId="0" fillId="37" borderId="58" xfId="82" applyNumberFormat="1" applyFont="1" applyFill="1" applyBorder="1" applyAlignment="1" applyProtection="1">
      <alignment vertical="center"/>
    </xf>
    <xf numFmtId="166" fontId="2" fillId="24" borderId="54" xfId="82" applyNumberFormat="1" applyFont="1" applyFill="1" applyBorder="1" applyAlignment="1" applyProtection="1">
      <alignment vertical="center"/>
    </xf>
    <xf numFmtId="166" fontId="4" fillId="25" borderId="54" xfId="0" applyNumberFormat="1" applyFont="1" applyFill="1" applyBorder="1" applyAlignment="1" applyProtection="1">
      <alignment vertical="center"/>
    </xf>
    <xf numFmtId="0" fontId="2" fillId="0" borderId="54" xfId="0" applyFont="1" applyBorder="1" applyAlignment="1" applyProtection="1">
      <alignment horizontal="center" vertical="center" wrapText="1"/>
    </xf>
    <xf numFmtId="166" fontId="7" fillId="37" borderId="58" xfId="82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5" fillId="35" borderId="51" xfId="0" applyFont="1" applyFill="1" applyBorder="1" applyAlignment="1" applyProtection="1">
      <alignment vertical="center"/>
    </xf>
    <xf numFmtId="172" fontId="15" fillId="35" borderId="67" xfId="85" applyNumberFormat="1" applyFont="1" applyFill="1" applyBorder="1" applyAlignment="1" applyProtection="1">
      <alignment vertical="center"/>
    </xf>
    <xf numFmtId="172" fontId="15" fillId="35" borderId="58" xfId="85" applyNumberFormat="1" applyFont="1" applyFill="1" applyBorder="1" applyAlignment="1" applyProtection="1">
      <alignment vertical="center"/>
    </xf>
    <xf numFmtId="0" fontId="15" fillId="35" borderId="10" xfId="0" applyFont="1" applyFill="1" applyBorder="1" applyAlignment="1" applyProtection="1">
      <alignment vertical="center"/>
    </xf>
    <xf numFmtId="172" fontId="4" fillId="0" borderId="10" xfId="85" applyNumberFormat="1" applyFont="1" applyBorder="1" applyAlignment="1" applyProtection="1">
      <alignment vertical="center"/>
    </xf>
    <xf numFmtId="166" fontId="4" fillId="0" borderId="10" xfId="0" applyNumberFormat="1" applyFont="1" applyBorder="1" applyAlignment="1" applyProtection="1">
      <alignment vertical="center"/>
    </xf>
    <xf numFmtId="172" fontId="3" fillId="0" borderId="0" xfId="0" applyNumberFormat="1" applyFont="1" applyFill="1" applyBorder="1" applyAlignment="1" applyProtection="1">
      <alignment vertical="center"/>
    </xf>
    <xf numFmtId="172" fontId="0" fillId="0" borderId="0" xfId="0" applyNumberForma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0" fontId="7" fillId="0" borderId="0" xfId="0" applyNumberFormat="1" applyFont="1" applyAlignment="1" applyProtection="1">
      <alignment horizontal="left" vertical="center"/>
    </xf>
    <xf numFmtId="0" fontId="19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horizontal="right" vertical="center"/>
    </xf>
    <xf numFmtId="172" fontId="21" fillId="0" borderId="0" xfId="0" applyNumberFormat="1" applyFont="1" applyAlignment="1" applyProtection="1">
      <alignment vertical="center"/>
    </xf>
    <xf numFmtId="0" fontId="12" fillId="0" borderId="51" xfId="0" applyFont="1" applyFill="1" applyBorder="1" applyAlignment="1" applyProtection="1">
      <alignment vertical="center"/>
    </xf>
    <xf numFmtId="172" fontId="12" fillId="0" borderId="54" xfId="85" applyNumberFormat="1" applyFont="1" applyFill="1" applyBorder="1" applyAlignment="1" applyProtection="1">
      <alignment vertical="center"/>
    </xf>
    <xf numFmtId="44" fontId="12" fillId="0" borderId="57" xfId="85" applyNumberFormat="1" applyFont="1" applyFill="1" applyBorder="1" applyAlignment="1" applyProtection="1">
      <alignment vertical="center"/>
    </xf>
    <xf numFmtId="44" fontId="12" fillId="0" borderId="61" xfId="85" applyNumberFormat="1" applyFont="1" applyFill="1" applyBorder="1" applyAlignment="1" applyProtection="1">
      <alignment vertical="center"/>
    </xf>
    <xf numFmtId="44" fontId="12" fillId="0" borderId="66" xfId="85" applyNumberFormat="1" applyFont="1" applyFill="1" applyBorder="1" applyAlignment="1" applyProtection="1">
      <alignment vertical="center"/>
    </xf>
    <xf numFmtId="44" fontId="12" fillId="0" borderId="51" xfId="85" applyNumberFormat="1" applyFont="1" applyFill="1" applyBorder="1" applyAlignment="1" applyProtection="1">
      <alignment vertical="center"/>
    </xf>
    <xf numFmtId="44" fontId="12" fillId="0" borderId="67" xfId="85" applyNumberFormat="1" applyFont="1" applyFill="1" applyBorder="1" applyAlignment="1" applyProtection="1">
      <alignment vertical="center"/>
    </xf>
    <xf numFmtId="44" fontId="12" fillId="0" borderId="54" xfId="85" applyNumberFormat="1" applyFont="1" applyFill="1" applyBorder="1" applyAlignment="1" applyProtection="1">
      <alignment vertical="center"/>
    </xf>
    <xf numFmtId="172" fontId="12" fillId="0" borderId="58" xfId="85" applyNumberFormat="1" applyFont="1" applyFill="1" applyBorder="1" applyAlignment="1" applyProtection="1">
      <alignment vertical="center"/>
    </xf>
    <xf numFmtId="172" fontId="11" fillId="0" borderId="54" xfId="85" applyNumberFormat="1" applyFont="1" applyFill="1" applyBorder="1" applyAlignment="1" applyProtection="1">
      <alignment horizontal="right" vertical="center"/>
    </xf>
    <xf numFmtId="0" fontId="12" fillId="0" borderId="10" xfId="0" applyFont="1" applyFill="1" applyBorder="1" applyAlignment="1" applyProtection="1">
      <alignment vertical="center"/>
    </xf>
    <xf numFmtId="4" fontId="0" fillId="0" borderId="0" xfId="0" applyNumberForma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166" fontId="16" fillId="0" borderId="0" xfId="82" applyNumberFormat="1" applyFont="1" applyFill="1" applyBorder="1" applyAlignment="1" applyProtection="1">
      <alignment vertical="center"/>
    </xf>
    <xf numFmtId="3" fontId="16" fillId="0" borderId="0" xfId="0" applyNumberFormat="1" applyFont="1" applyFill="1" applyBorder="1" applyAlignment="1" applyProtection="1">
      <alignment vertical="center"/>
    </xf>
    <xf numFmtId="166" fontId="5" fillId="0" borderId="0" xfId="82" applyNumberFormat="1" applyFont="1" applyFill="1" applyBorder="1" applyAlignment="1" applyProtection="1">
      <alignment vertical="center"/>
    </xf>
    <xf numFmtId="166" fontId="2" fillId="0" borderId="0" xfId="82" applyNumberFormat="1" applyFont="1" applyFill="1" applyBorder="1" applyAlignment="1" applyProtection="1">
      <alignment vertical="center"/>
    </xf>
    <xf numFmtId="3" fontId="1" fillId="0" borderId="0" xfId="82" applyNumberFormat="1" applyFon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3" fontId="0" fillId="0" borderId="0" xfId="82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vertical="center" wrapText="1"/>
    </xf>
    <xf numFmtId="3" fontId="5" fillId="0" borderId="0" xfId="82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" fontId="22" fillId="0" borderId="0" xfId="0" applyNumberFormat="1" applyFont="1" applyFill="1" applyBorder="1" applyAlignment="1" applyProtection="1">
      <alignment vertical="center" wrapText="1"/>
    </xf>
    <xf numFmtId="172" fontId="21" fillId="0" borderId="0" xfId="0" applyNumberFormat="1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72" fontId="21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9" fontId="18" fillId="0" borderId="0" xfId="0" applyNumberFormat="1" applyFont="1" applyFill="1" applyBorder="1" applyAlignment="1" applyProtection="1">
      <alignment horizontal="center" vertical="center"/>
    </xf>
    <xf numFmtId="172" fontId="18" fillId="35" borderId="54" xfId="85" applyNumberFormat="1" applyFont="1" applyFill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169" fontId="0" fillId="0" borderId="0" xfId="82" applyNumberFormat="1" applyFont="1" applyAlignment="1" applyProtection="1">
      <alignment vertical="center"/>
    </xf>
    <xf numFmtId="181" fontId="0" fillId="0" borderId="0" xfId="82" applyNumberFormat="1" applyFont="1" applyAlignment="1" applyProtection="1">
      <alignment vertical="center"/>
    </xf>
    <xf numFmtId="182" fontId="0" fillId="0" borderId="0" xfId="82" applyNumberFormat="1" applyFont="1" applyAlignment="1" applyProtection="1">
      <alignment vertical="center"/>
    </xf>
    <xf numFmtId="0" fontId="5" fillId="0" borderId="59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/>
    </xf>
    <xf numFmtId="0" fontId="0" fillId="0" borderId="80" xfId="0" applyBorder="1" applyAlignment="1" applyProtection="1">
      <alignment horizontal="center" vertical="center"/>
    </xf>
    <xf numFmtId="166" fontId="2" fillId="24" borderId="39" xfId="82" applyNumberFormat="1" applyFont="1" applyFill="1" applyBorder="1" applyAlignment="1" applyProtection="1">
      <alignment vertical="center"/>
    </xf>
    <xf numFmtId="166" fontId="2" fillId="24" borderId="81" xfId="82" applyNumberFormat="1" applyFont="1" applyFill="1" applyBorder="1" applyAlignment="1" applyProtection="1">
      <alignment vertical="center"/>
    </xf>
    <xf numFmtId="0" fontId="2" fillId="0" borderId="40" xfId="0" applyFont="1" applyBorder="1" applyAlignment="1" applyProtection="1">
      <alignment horizontal="center" vertical="center" wrapText="1"/>
    </xf>
    <xf numFmtId="166" fontId="13" fillId="0" borderId="0" xfId="82" applyNumberFormat="1" applyFont="1" applyBorder="1" applyAlignment="1" applyProtection="1">
      <alignment vertical="center"/>
    </xf>
    <xf numFmtId="0" fontId="2" fillId="0" borderId="38" xfId="0" applyFont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/>
    </xf>
    <xf numFmtId="166" fontId="2" fillId="25" borderId="42" xfId="0" applyNumberFormat="1" applyFont="1" applyFill="1" applyBorder="1" applyAlignment="1" applyProtection="1">
      <alignment vertical="center"/>
    </xf>
    <xf numFmtId="0" fontId="2" fillId="0" borderId="77" xfId="0" applyFont="1" applyBorder="1" applyAlignment="1" applyProtection="1">
      <alignment vertical="center"/>
    </xf>
    <xf numFmtId="0" fontId="5" fillId="0" borderId="82" xfId="0" applyFont="1" applyBorder="1" applyAlignment="1" applyProtection="1">
      <alignment vertical="center" wrapText="1"/>
    </xf>
    <xf numFmtId="0" fontId="0" fillId="0" borderId="83" xfId="0" applyBorder="1" applyAlignment="1" applyProtection="1">
      <alignment vertical="center" wrapText="1"/>
    </xf>
    <xf numFmtId="0" fontId="0" fillId="0" borderId="11" xfId="0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2" fillId="0" borderId="84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2" fillId="25" borderId="31" xfId="0" applyFont="1" applyFill="1" applyBorder="1" applyAlignment="1" applyProtection="1">
      <alignment vertical="center"/>
    </xf>
    <xf numFmtId="167" fontId="2" fillId="25" borderId="30" xfId="126" applyNumberFormat="1" applyFont="1" applyFill="1" applyBorder="1" applyAlignment="1" applyProtection="1">
      <alignment vertical="center"/>
    </xf>
    <xf numFmtId="0" fontId="2" fillId="0" borderId="37" xfId="0" applyFont="1" applyFill="1" applyBorder="1" applyAlignment="1" applyProtection="1">
      <alignment vertical="center"/>
    </xf>
    <xf numFmtId="167" fontId="2" fillId="0" borderId="85" xfId="126" applyNumberFormat="1" applyFont="1" applyBorder="1" applyAlignment="1" applyProtection="1">
      <alignment vertical="center"/>
    </xf>
    <xf numFmtId="0" fontId="2" fillId="25" borderId="47" xfId="0" applyFont="1" applyFill="1" applyBorder="1" applyAlignment="1" applyProtection="1">
      <alignment vertical="center"/>
    </xf>
    <xf numFmtId="167" fontId="2" fillId="25" borderId="50" xfId="126" applyNumberFormat="1" applyFont="1" applyFill="1" applyBorder="1" applyAlignment="1" applyProtection="1">
      <alignment vertical="center"/>
    </xf>
    <xf numFmtId="0" fontId="2" fillId="25" borderId="11" xfId="0" applyFont="1" applyFill="1" applyBorder="1" applyAlignment="1" applyProtection="1">
      <alignment vertical="center"/>
    </xf>
    <xf numFmtId="167" fontId="2" fillId="25" borderId="14" xfId="126" applyNumberFormat="1" applyFont="1" applyFill="1" applyBorder="1" applyAlignment="1" applyProtection="1">
      <alignment vertical="center"/>
    </xf>
    <xf numFmtId="0" fontId="2" fillId="25" borderId="24" xfId="0" applyFont="1" applyFill="1" applyBorder="1" applyAlignment="1" applyProtection="1">
      <alignment vertical="center"/>
    </xf>
    <xf numFmtId="166" fontId="2" fillId="25" borderId="25" xfId="0" applyNumberFormat="1" applyFont="1" applyFill="1" applyBorder="1" applyAlignment="1" applyProtection="1">
      <alignment vertical="center"/>
    </xf>
    <xf numFmtId="44" fontId="12" fillId="26" borderId="86" xfId="85" applyNumberFormat="1" applyFont="1" applyFill="1" applyBorder="1" applyAlignment="1" applyProtection="1">
      <alignment vertical="center"/>
    </xf>
    <xf numFmtId="44" fontId="12" fillId="36" borderId="86" xfId="85" applyNumberFormat="1" applyFont="1" applyFill="1" applyBorder="1" applyAlignment="1" applyProtection="1">
      <alignment vertical="center"/>
    </xf>
    <xf numFmtId="44" fontId="12" fillId="0" borderId="86" xfId="85" applyNumberFormat="1" applyFont="1" applyFill="1" applyBorder="1" applyAlignment="1" applyProtection="1">
      <alignment vertical="center"/>
    </xf>
    <xf numFmtId="172" fontId="5" fillId="29" borderId="33" xfId="85" applyNumberFormat="1" applyFont="1" applyFill="1" applyBorder="1" applyAlignment="1" applyProtection="1">
      <alignment vertical="center"/>
    </xf>
    <xf numFmtId="172" fontId="5" fillId="30" borderId="33" xfId="85" applyNumberFormat="1" applyFont="1" applyFill="1" applyBorder="1" applyAlignment="1" applyProtection="1">
      <alignment vertical="center"/>
    </xf>
    <xf numFmtId="172" fontId="5" fillId="33" borderId="51" xfId="85" applyNumberFormat="1" applyFont="1" applyFill="1" applyBorder="1" applyAlignment="1" applyProtection="1">
      <alignment vertical="center"/>
    </xf>
    <xf numFmtId="9" fontId="0" fillId="26" borderId="19" xfId="126" applyFont="1" applyFill="1" applyBorder="1" applyAlignment="1" applyProtection="1">
      <alignment vertical="center"/>
    </xf>
    <xf numFmtId="9" fontId="0" fillId="26" borderId="58" xfId="126" applyFont="1" applyFill="1" applyBorder="1" applyAlignment="1" applyProtection="1">
      <alignment vertical="center"/>
    </xf>
    <xf numFmtId="44" fontId="12" fillId="26" borderId="58" xfId="85" applyNumberFormat="1" applyFont="1" applyFill="1" applyBorder="1" applyAlignment="1" applyProtection="1">
      <alignment vertical="center"/>
    </xf>
    <xf numFmtId="44" fontId="12" fillId="36" borderId="58" xfId="85" applyNumberFormat="1" applyFont="1" applyFill="1" applyBorder="1" applyAlignment="1" applyProtection="1">
      <alignment vertical="center"/>
    </xf>
    <xf numFmtId="44" fontId="12" fillId="27" borderId="58" xfId="85" applyNumberFormat="1" applyFont="1" applyFill="1" applyBorder="1" applyAlignment="1" applyProtection="1">
      <alignment vertical="center"/>
    </xf>
    <xf numFmtId="44" fontId="12" fillId="0" borderId="58" xfId="85" applyNumberFormat="1" applyFont="1" applyFill="1" applyBorder="1" applyAlignment="1" applyProtection="1">
      <alignment vertical="center"/>
    </xf>
    <xf numFmtId="172" fontId="5" fillId="34" borderId="33" xfId="85" applyNumberFormat="1" applyFont="1" applyFill="1" applyBorder="1" applyAlignment="1" applyProtection="1">
      <alignment vertical="center"/>
    </xf>
    <xf numFmtId="10" fontId="2" fillId="26" borderId="10" xfId="126" applyNumberFormat="1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29" borderId="31" xfId="0" applyFont="1" applyFill="1" applyBorder="1" applyAlignment="1" applyProtection="1">
      <alignment horizontal="center" vertical="center" wrapText="1"/>
    </xf>
    <xf numFmtId="0" fontId="2" fillId="29" borderId="87" xfId="0" applyFont="1" applyFill="1" applyBorder="1" applyAlignment="1" applyProtection="1">
      <alignment horizontal="center" vertical="center" wrapText="1"/>
    </xf>
    <xf numFmtId="172" fontId="2" fillId="29" borderId="47" xfId="85" applyNumberFormat="1" applyFont="1" applyFill="1" applyBorder="1" applyAlignment="1" applyProtection="1">
      <alignment vertical="center"/>
    </xf>
    <xf numFmtId="166" fontId="1" fillId="0" borderId="0" xfId="82" quotePrefix="1" applyNumberFormat="1" applyFont="1" applyAlignment="1" applyProtection="1">
      <alignment vertical="center"/>
    </xf>
    <xf numFmtId="166" fontId="1" fillId="0" borderId="0" xfId="82" applyNumberFormat="1" applyFont="1" applyAlignment="1" applyProtection="1">
      <alignment vertical="center"/>
    </xf>
    <xf numFmtId="4" fontId="22" fillId="0" borderId="0" xfId="0" applyNumberFormat="1" applyFont="1" applyFill="1" applyBorder="1" applyAlignment="1" applyProtection="1">
      <alignment horizontal="center" vertical="center" wrapText="1"/>
    </xf>
    <xf numFmtId="43" fontId="5" fillId="0" borderId="0" xfId="0" applyNumberFormat="1" applyFont="1" applyFill="1" applyBorder="1" applyAlignment="1" applyProtection="1">
      <alignment horizontal="center" vertical="center"/>
    </xf>
    <xf numFmtId="166" fontId="5" fillId="0" borderId="59" xfId="82" applyNumberFormat="1" applyFont="1" applyFill="1" applyBorder="1" applyAlignment="1" applyProtection="1">
      <alignment vertical="center"/>
    </xf>
    <xf numFmtId="166" fontId="2" fillId="24" borderId="27" xfId="82" applyNumberFormat="1" applyFont="1" applyFill="1" applyBorder="1" applyAlignment="1" applyProtection="1">
      <alignment vertical="center"/>
    </xf>
    <xf numFmtId="166" fontId="2" fillId="0" borderId="35" xfId="82" applyNumberFormat="1" applyFont="1" applyFill="1" applyBorder="1" applyAlignment="1" applyProtection="1">
      <alignment vertical="center"/>
    </xf>
    <xf numFmtId="166" fontId="2" fillId="25" borderId="40" xfId="82" applyNumberFormat="1" applyFont="1" applyFill="1" applyBorder="1" applyAlignment="1" applyProtection="1">
      <alignment vertical="center"/>
    </xf>
    <xf numFmtId="166" fontId="2" fillId="0" borderId="30" xfId="82" applyNumberFormat="1" applyFont="1" applyFill="1" applyBorder="1" applyAlignment="1" applyProtection="1">
      <alignment vertical="center"/>
    </xf>
    <xf numFmtId="166" fontId="2" fillId="24" borderId="30" xfId="82" applyNumberFormat="1" applyFont="1" applyFill="1" applyBorder="1" applyAlignment="1" applyProtection="1">
      <alignment vertical="center"/>
    </xf>
    <xf numFmtId="166" fontId="2" fillId="24" borderId="45" xfId="82" applyNumberFormat="1" applyFont="1" applyFill="1" applyBorder="1" applyAlignment="1" applyProtection="1">
      <alignment vertical="center"/>
    </xf>
    <xf numFmtId="166" fontId="5" fillId="0" borderId="0" xfId="82" applyNumberFormat="1" applyFont="1" applyAlignment="1" applyProtection="1">
      <alignment vertical="center"/>
    </xf>
    <xf numFmtId="44" fontId="5" fillId="0" borderId="0" xfId="85" applyFont="1" applyAlignment="1" applyProtection="1">
      <alignment vertical="center"/>
    </xf>
    <xf numFmtId="172" fontId="5" fillId="0" borderId="0" xfId="85" applyNumberFormat="1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66" fontId="5" fillId="0" borderId="0" xfId="82" applyNumberFormat="1" applyFont="1" applyBorder="1" applyAlignment="1" applyProtection="1">
      <alignment vertical="center"/>
    </xf>
    <xf numFmtId="44" fontId="5" fillId="0" borderId="0" xfId="85" applyFont="1" applyBorder="1" applyAlignment="1" applyProtection="1">
      <alignment vertical="center"/>
    </xf>
    <xf numFmtId="172" fontId="5" fillId="0" borderId="0" xfId="85" applyNumberFormat="1" applyFont="1" applyBorder="1" applyAlignment="1" applyProtection="1">
      <alignment vertical="center"/>
    </xf>
    <xf numFmtId="174" fontId="5" fillId="0" borderId="0" xfId="0" applyNumberFormat="1" applyFont="1" applyBorder="1" applyAlignment="1" applyProtection="1">
      <alignment vertical="center"/>
    </xf>
    <xf numFmtId="0" fontId="5" fillId="0" borderId="88" xfId="0" applyFont="1" applyBorder="1" applyAlignment="1" applyProtection="1">
      <alignment vertical="center"/>
    </xf>
    <xf numFmtId="166" fontId="5" fillId="0" borderId="89" xfId="82" applyNumberFormat="1" applyFont="1" applyBorder="1" applyAlignment="1" applyProtection="1">
      <alignment vertical="center"/>
    </xf>
    <xf numFmtId="166" fontId="5" fillId="0" borderId="90" xfId="82" applyNumberFormat="1" applyFont="1" applyBorder="1" applyAlignment="1" applyProtection="1">
      <alignment horizontal="center" vertical="center" wrapText="1"/>
    </xf>
    <xf numFmtId="44" fontId="5" fillId="0" borderId="73" xfId="85" applyFont="1" applyBorder="1" applyAlignment="1" applyProtection="1">
      <alignment horizontal="center" vertical="center" wrapText="1"/>
    </xf>
    <xf numFmtId="172" fontId="5" fillId="0" borderId="90" xfId="85" applyNumberFormat="1" applyFont="1" applyBorder="1" applyAlignment="1" applyProtection="1">
      <alignment horizontal="center" vertical="center" wrapText="1"/>
    </xf>
    <xf numFmtId="172" fontId="5" fillId="0" borderId="82" xfId="85" applyNumberFormat="1" applyFont="1" applyBorder="1" applyAlignment="1" applyProtection="1">
      <alignment horizontal="center" vertical="center" wrapText="1"/>
    </xf>
    <xf numFmtId="0" fontId="5" fillId="0" borderId="73" xfId="0" applyFont="1" applyBorder="1" applyAlignment="1" applyProtection="1">
      <alignment horizontal="center" vertical="center" wrapText="1"/>
    </xf>
    <xf numFmtId="0" fontId="5" fillId="0" borderId="78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90" xfId="0" applyFont="1" applyBorder="1" applyAlignment="1" applyProtection="1">
      <alignment horizontal="center" vertical="center" wrapText="1"/>
    </xf>
    <xf numFmtId="44" fontId="5" fillId="0" borderId="78" xfId="85" applyFont="1" applyBorder="1" applyAlignment="1" applyProtection="1">
      <alignment horizontal="center" vertical="center" wrapText="1"/>
    </xf>
    <xf numFmtId="0" fontId="5" fillId="0" borderId="83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66" fontId="5" fillId="0" borderId="17" xfId="82" applyNumberFormat="1" applyFont="1" applyBorder="1" applyAlignment="1" applyProtection="1">
      <alignment vertical="center"/>
    </xf>
    <xf numFmtId="44" fontId="5" fillId="0" borderId="16" xfId="85" applyFont="1" applyBorder="1" applyAlignment="1" applyProtection="1">
      <alignment vertical="center"/>
    </xf>
    <xf numFmtId="172" fontId="5" fillId="0" borderId="18" xfId="85" applyNumberFormat="1" applyFont="1" applyBorder="1" applyAlignment="1" applyProtection="1">
      <alignment vertical="center"/>
    </xf>
    <xf numFmtId="172" fontId="5" fillId="0" borderId="91" xfId="85" applyNumberFormat="1" applyFont="1" applyBorder="1" applyAlignment="1" applyProtection="1">
      <alignment vertical="center"/>
    </xf>
    <xf numFmtId="172" fontId="5" fillId="0" borderId="19" xfId="0" applyNumberFormat="1" applyFont="1" applyBorder="1" applyAlignment="1" applyProtection="1">
      <alignment vertical="center"/>
    </xf>
    <xf numFmtId="10" fontId="5" fillId="0" borderId="91" xfId="126" applyNumberFormat="1" applyFont="1" applyBorder="1" applyAlignment="1" applyProtection="1">
      <alignment vertical="center"/>
    </xf>
    <xf numFmtId="166" fontId="5" fillId="0" borderId="18" xfId="82" applyNumberFormat="1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166" fontId="5" fillId="0" borderId="92" xfId="82" applyNumberFormat="1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</xf>
    <xf numFmtId="172" fontId="5" fillId="0" borderId="62" xfId="85" applyNumberFormat="1" applyFont="1" applyBorder="1" applyAlignment="1" applyProtection="1">
      <alignment vertical="center"/>
    </xf>
    <xf numFmtId="172" fontId="5" fillId="0" borderId="93" xfId="85" applyNumberFormat="1" applyFont="1" applyBorder="1" applyAlignment="1" applyProtection="1">
      <alignment vertical="center"/>
    </xf>
    <xf numFmtId="44" fontId="5" fillId="0" borderId="20" xfId="85" applyFont="1" applyBorder="1" applyAlignment="1" applyProtection="1">
      <alignment vertical="center"/>
    </xf>
    <xf numFmtId="172" fontId="5" fillId="0" borderId="21" xfId="0" applyNumberFormat="1" applyFont="1" applyBorder="1" applyAlignment="1" applyProtection="1">
      <alignment vertical="center"/>
    </xf>
    <xf numFmtId="10" fontId="5" fillId="0" borderId="93" xfId="126" applyNumberFormat="1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172" fontId="5" fillId="0" borderId="64" xfId="85" applyNumberFormat="1" applyFont="1" applyBorder="1" applyAlignment="1" applyProtection="1">
      <alignment vertical="center"/>
    </xf>
    <xf numFmtId="172" fontId="5" fillId="0" borderId="94" xfId="85" applyNumberFormat="1" applyFont="1" applyBorder="1" applyAlignment="1" applyProtection="1">
      <alignment vertical="center"/>
    </xf>
    <xf numFmtId="44" fontId="5" fillId="0" borderId="22" xfId="85" applyFont="1" applyBorder="1" applyAlignment="1" applyProtection="1">
      <alignment vertical="center"/>
    </xf>
    <xf numFmtId="172" fontId="5" fillId="0" borderId="23" xfId="0" applyNumberFormat="1" applyFont="1" applyBorder="1" applyAlignment="1" applyProtection="1">
      <alignment vertical="center"/>
    </xf>
    <xf numFmtId="10" fontId="5" fillId="0" borderId="94" xfId="126" applyNumberFormat="1" applyFont="1" applyBorder="1" applyAlignment="1" applyProtection="1">
      <alignment vertical="center"/>
    </xf>
    <xf numFmtId="44" fontId="5" fillId="0" borderId="16" xfId="85" applyNumberFormat="1" applyFont="1" applyBorder="1" applyAlignment="1" applyProtection="1">
      <alignment vertical="center"/>
    </xf>
    <xf numFmtId="10" fontId="5" fillId="0" borderId="0" xfId="126" applyNumberFormat="1" applyFont="1" applyBorder="1" applyAlignment="1" applyProtection="1">
      <alignment vertical="center"/>
    </xf>
    <xf numFmtId="0" fontId="5" fillId="0" borderId="75" xfId="0" applyFont="1" applyBorder="1" applyAlignment="1" applyProtection="1">
      <alignment vertical="center"/>
    </xf>
    <xf numFmtId="166" fontId="5" fillId="0" borderId="95" xfId="82" applyNumberFormat="1" applyFont="1" applyBorder="1" applyAlignment="1" applyProtection="1">
      <alignment vertical="center"/>
    </xf>
    <xf numFmtId="44" fontId="5" fillId="0" borderId="69" xfId="85" applyFont="1" applyBorder="1" applyAlignment="1" applyProtection="1">
      <alignment vertical="center"/>
    </xf>
    <xf numFmtId="172" fontId="5" fillId="0" borderId="70" xfId="85" applyNumberFormat="1" applyFont="1" applyBorder="1" applyAlignment="1" applyProtection="1">
      <alignment vertical="center"/>
    </xf>
    <xf numFmtId="172" fontId="5" fillId="0" borderId="96" xfId="85" applyNumberFormat="1" applyFont="1" applyBorder="1" applyAlignment="1" applyProtection="1">
      <alignment vertical="center"/>
    </xf>
    <xf numFmtId="0" fontId="5" fillId="0" borderId="69" xfId="0" applyFont="1" applyBorder="1" applyAlignment="1" applyProtection="1">
      <alignment vertical="center"/>
    </xf>
    <xf numFmtId="0" fontId="5" fillId="0" borderId="72" xfId="0" applyFont="1" applyBorder="1" applyAlignment="1" applyProtection="1">
      <alignment vertical="center"/>
    </xf>
    <xf numFmtId="0" fontId="5" fillId="0" borderId="97" xfId="0" applyFont="1" applyBorder="1" applyAlignment="1" applyProtection="1">
      <alignment vertical="center"/>
    </xf>
    <xf numFmtId="0" fontId="5" fillId="0" borderId="98" xfId="0" applyFont="1" applyBorder="1" applyAlignment="1" applyProtection="1">
      <alignment vertical="center"/>
    </xf>
    <xf numFmtId="0" fontId="5" fillId="0" borderId="99" xfId="0" applyFont="1" applyBorder="1" applyAlignment="1" applyProtection="1">
      <alignment vertical="center"/>
    </xf>
    <xf numFmtId="0" fontId="5" fillId="0" borderId="100" xfId="0" applyFont="1" applyBorder="1" applyAlignment="1" applyProtection="1">
      <alignment vertical="center"/>
    </xf>
    <xf numFmtId="0" fontId="5" fillId="0" borderId="101" xfId="0" applyFont="1" applyBorder="1" applyAlignment="1" applyProtection="1">
      <alignment vertical="center"/>
    </xf>
    <xf numFmtId="0" fontId="5" fillId="0" borderId="84" xfId="0" applyFont="1" applyBorder="1" applyAlignment="1" applyProtection="1">
      <alignment vertical="center"/>
    </xf>
    <xf numFmtId="0" fontId="5" fillId="0" borderId="28" xfId="0" applyFont="1" applyBorder="1" applyAlignment="1" applyProtection="1">
      <alignment vertical="center"/>
    </xf>
    <xf numFmtId="166" fontId="5" fillId="0" borderId="28" xfId="82" applyNumberFormat="1" applyFont="1" applyBorder="1" applyAlignment="1" applyProtection="1">
      <alignment vertical="center"/>
    </xf>
    <xf numFmtId="44" fontId="5" fillId="0" borderId="98" xfId="85" applyFont="1" applyBorder="1" applyAlignment="1" applyProtection="1">
      <alignment vertical="center"/>
    </xf>
    <xf numFmtId="172" fontId="5" fillId="0" borderId="98" xfId="85" applyNumberFormat="1" applyFont="1" applyBorder="1" applyAlignment="1" applyProtection="1">
      <alignment vertical="center"/>
    </xf>
    <xf numFmtId="172" fontId="5" fillId="0" borderId="28" xfId="85" applyNumberFormat="1" applyFont="1" applyBorder="1" applyAlignment="1" applyProtection="1">
      <alignment vertical="center"/>
    </xf>
    <xf numFmtId="172" fontId="5" fillId="0" borderId="102" xfId="85" applyNumberFormat="1" applyFont="1" applyBorder="1" applyAlignment="1" applyProtection="1">
      <alignment vertical="center"/>
    </xf>
    <xf numFmtId="172" fontId="5" fillId="0" borderId="103" xfId="85" applyNumberFormat="1" applyFont="1" applyBorder="1" applyAlignment="1" applyProtection="1">
      <alignment vertical="center"/>
    </xf>
    <xf numFmtId="0" fontId="4" fillId="0" borderId="72" xfId="0" applyFont="1" applyBorder="1" applyAlignment="1" applyProtection="1">
      <alignment horizontal="right" vertical="center"/>
    </xf>
    <xf numFmtId="172" fontId="4" fillId="0" borderId="72" xfId="85" applyNumberFormat="1" applyFont="1" applyBorder="1" applyAlignment="1" applyProtection="1">
      <alignment vertical="center"/>
    </xf>
    <xf numFmtId="0" fontId="5" fillId="0" borderId="79" xfId="0" applyFont="1" applyBorder="1" applyAlignment="1" applyProtection="1">
      <alignment vertical="center"/>
    </xf>
    <xf numFmtId="0" fontId="5" fillId="0" borderId="36" xfId="0" applyFont="1" applyBorder="1" applyAlignment="1" applyProtection="1">
      <alignment vertical="center"/>
    </xf>
    <xf numFmtId="0" fontId="5" fillId="0" borderId="104" xfId="0" applyFont="1" applyBorder="1" applyAlignment="1" applyProtection="1">
      <alignment vertical="center"/>
    </xf>
    <xf numFmtId="172" fontId="5" fillId="0" borderId="0" xfId="85" applyNumberFormat="1" applyFont="1" applyFill="1" applyAlignment="1" applyProtection="1">
      <alignment vertical="center"/>
    </xf>
    <xf numFmtId="173" fontId="5" fillId="0" borderId="0" xfId="0" applyNumberFormat="1" applyFont="1" applyFill="1" applyAlignment="1" applyProtection="1">
      <alignment vertical="center"/>
    </xf>
    <xf numFmtId="166" fontId="5" fillId="0" borderId="0" xfId="82" applyNumberFormat="1" applyFont="1" applyFill="1" applyBorder="1" applyAlignment="1" applyProtection="1">
      <alignment horizontal="right" vertical="center"/>
    </xf>
    <xf numFmtId="172" fontId="5" fillId="0" borderId="0" xfId="85" applyNumberFormat="1" applyFont="1" applyFill="1" applyBorder="1" applyAlignment="1" applyProtection="1">
      <alignment vertical="center"/>
    </xf>
    <xf numFmtId="10" fontId="2" fillId="0" borderId="0" xfId="126" applyNumberFormat="1" applyFont="1" applyFill="1" applyBorder="1" applyAlignment="1" applyProtection="1">
      <alignment horizontal="center" vertical="center"/>
    </xf>
    <xf numFmtId="0" fontId="5" fillId="0" borderId="0" xfId="82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Protection="1"/>
    <xf numFmtId="173" fontId="5" fillId="0" borderId="0" xfId="0" applyNumberFormat="1" applyFont="1" applyFill="1" applyBorder="1" applyAlignment="1" applyProtection="1">
      <alignment vertical="center"/>
    </xf>
    <xf numFmtId="183" fontId="5" fillId="0" borderId="0" xfId="85" applyNumberFormat="1" applyFont="1" applyFill="1" applyBorder="1" applyAlignment="1" applyProtection="1">
      <alignment vertical="center"/>
    </xf>
    <xf numFmtId="37" fontId="5" fillId="0" borderId="0" xfId="85" applyNumberFormat="1" applyFont="1" applyFill="1" applyBorder="1" applyAlignment="1" applyProtection="1">
      <alignment vertical="center"/>
    </xf>
    <xf numFmtId="0" fontId="5" fillId="0" borderId="0" xfId="82" applyNumberFormat="1" applyFont="1" applyAlignment="1" applyProtection="1">
      <alignment horizontal="right" vertical="center"/>
    </xf>
    <xf numFmtId="0" fontId="5" fillId="0" borderId="0" xfId="0" applyFont="1" applyProtection="1"/>
    <xf numFmtId="172" fontId="5" fillId="0" borderId="0" xfId="85" applyNumberFormat="1" applyFont="1" applyFill="1" applyBorder="1" applyAlignment="1" applyProtection="1">
      <alignment horizontal="right" vertical="center"/>
    </xf>
    <xf numFmtId="0" fontId="0" fillId="0" borderId="105" xfId="0" applyBorder="1" applyAlignment="1" applyProtection="1">
      <alignment horizontal="center" vertical="center"/>
    </xf>
    <xf numFmtId="167" fontId="2" fillId="25" borderId="27" xfId="126" applyNumberFormat="1" applyFont="1" applyFill="1" applyBorder="1" applyAlignment="1" applyProtection="1">
      <alignment vertical="center"/>
    </xf>
    <xf numFmtId="0" fontId="4" fillId="0" borderId="68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3" fontId="5" fillId="26" borderId="16" xfId="126" applyNumberFormat="1" applyFont="1" applyFill="1" applyBorder="1" applyAlignment="1" applyProtection="1">
      <alignment vertical="center"/>
    </xf>
    <xf numFmtId="172" fontId="5" fillId="26" borderId="35" xfId="85" applyNumberFormat="1" applyFont="1" applyFill="1" applyBorder="1" applyAlignment="1" applyProtection="1">
      <alignment vertical="center"/>
    </xf>
    <xf numFmtId="0" fontId="4" fillId="0" borderId="77" xfId="0" applyFont="1" applyBorder="1" applyAlignment="1" applyProtection="1">
      <alignment vertical="center"/>
    </xf>
    <xf numFmtId="174" fontId="0" fillId="0" borderId="0" xfId="0" applyNumberFormat="1" applyFill="1" applyBorder="1" applyAlignment="1" applyProtection="1">
      <alignment vertical="center"/>
    </xf>
    <xf numFmtId="180" fontId="1" fillId="0" borderId="0" xfId="126" applyNumberFormat="1" applyFill="1" applyBorder="1" applyAlignment="1" applyProtection="1">
      <alignment horizontal="center" vertical="center"/>
    </xf>
    <xf numFmtId="10" fontId="1" fillId="0" borderId="0" xfId="126" applyNumberFormat="1" applyFont="1" applyFill="1" applyBorder="1" applyAlignment="1" applyProtection="1">
      <alignment horizontal="center" vertical="center"/>
    </xf>
    <xf numFmtId="166" fontId="1" fillId="0" borderId="0" xfId="82" applyNumberFormat="1" applyFill="1" applyBorder="1" applyAlignment="1" applyProtection="1">
      <alignment vertical="center"/>
    </xf>
    <xf numFmtId="166" fontId="0" fillId="0" borderId="0" xfId="0" applyNumberFormat="1" applyFill="1" applyBorder="1" applyAlignment="1" applyProtection="1">
      <alignment vertical="center"/>
    </xf>
    <xf numFmtId="168" fontId="0" fillId="0" borderId="0" xfId="0" applyNumberFormat="1" applyFill="1" applyBorder="1" applyAlignment="1" applyProtection="1">
      <alignment vertical="center"/>
    </xf>
    <xf numFmtId="165" fontId="0" fillId="0" borderId="0" xfId="82" applyNumberFormat="1" applyFont="1" applyFill="1" applyBorder="1" applyAlignment="1" applyProtection="1">
      <alignment vertical="center"/>
    </xf>
    <xf numFmtId="172" fontId="0" fillId="0" borderId="0" xfId="85" applyNumberFormat="1" applyFont="1" applyFill="1" applyBorder="1" applyAlignment="1" applyProtection="1">
      <alignment vertical="center"/>
    </xf>
    <xf numFmtId="169" fontId="1" fillId="0" borderId="0" xfId="82" applyNumberFormat="1" applyFont="1" applyFill="1" applyBorder="1" applyAlignment="1" applyProtection="1">
      <alignment horizontal="center" vertical="center"/>
    </xf>
    <xf numFmtId="165" fontId="1" fillId="0" borderId="0" xfId="82" applyNumberFormat="1" applyFont="1" applyFill="1" applyBorder="1" applyAlignment="1" applyProtection="1">
      <alignment horizontal="center" vertical="center"/>
    </xf>
    <xf numFmtId="170" fontId="0" fillId="0" borderId="0" xfId="0" applyNumberFormat="1" applyFill="1" applyBorder="1" applyAlignment="1" applyProtection="1">
      <alignment vertical="center"/>
    </xf>
    <xf numFmtId="44" fontId="0" fillId="0" borderId="0" xfId="85" applyFont="1" applyFill="1" applyBorder="1" applyAlignment="1" applyProtection="1">
      <alignment vertical="center"/>
    </xf>
    <xf numFmtId="10" fontId="2" fillId="0" borderId="0" xfId="82" applyNumberFormat="1" applyFont="1" applyFill="1" applyBorder="1" applyAlignment="1" applyProtection="1">
      <alignment horizontal="right" vertical="center"/>
    </xf>
    <xf numFmtId="172" fontId="17" fillId="0" borderId="0" xfId="85" applyNumberFormat="1" applyFont="1" applyFill="1" applyBorder="1" applyAlignment="1" applyProtection="1">
      <alignment vertical="center"/>
    </xf>
    <xf numFmtId="0" fontId="1" fillId="0" borderId="82" xfId="0" applyFont="1" applyBorder="1" applyAlignment="1" applyProtection="1">
      <alignment vertical="center" wrapText="1"/>
    </xf>
    <xf numFmtId="0" fontId="1" fillId="0" borderId="95" xfId="0" applyFont="1" applyBorder="1" applyAlignment="1" applyProtection="1">
      <alignment horizontal="center" vertical="center"/>
    </xf>
    <xf numFmtId="0" fontId="1" fillId="0" borderId="96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167" fontId="16" fillId="0" borderId="12" xfId="126" applyNumberFormat="1" applyFont="1" applyBorder="1" applyAlignment="1" applyProtection="1">
      <alignment vertical="center"/>
    </xf>
    <xf numFmtId="167" fontId="15" fillId="0" borderId="12" xfId="126" applyNumberFormat="1" applyFont="1" applyBorder="1" applyAlignment="1" applyProtection="1">
      <alignment vertical="center"/>
    </xf>
    <xf numFmtId="167" fontId="15" fillId="0" borderId="12" xfId="126" applyNumberFormat="1" applyFont="1" applyFill="1" applyBorder="1" applyAlignment="1" applyProtection="1">
      <alignment vertical="center"/>
    </xf>
    <xf numFmtId="167" fontId="15" fillId="25" borderId="42" xfId="126" applyNumberFormat="1" applyFont="1" applyFill="1" applyBorder="1" applyAlignment="1" applyProtection="1">
      <alignment vertical="center"/>
    </xf>
    <xf numFmtId="0" fontId="15" fillId="0" borderId="76" xfId="0" applyFont="1" applyFill="1" applyBorder="1" applyAlignment="1" applyProtection="1">
      <alignment vertical="center"/>
    </xf>
    <xf numFmtId="167" fontId="15" fillId="0" borderId="76" xfId="126" applyNumberFormat="1" applyFont="1" applyFill="1" applyBorder="1" applyAlignment="1" applyProtection="1">
      <alignment vertical="center"/>
    </xf>
    <xf numFmtId="0" fontId="15" fillId="25" borderId="75" xfId="0" applyFont="1" applyFill="1" applyBorder="1" applyAlignment="1" applyProtection="1">
      <alignment vertical="center"/>
    </xf>
    <xf numFmtId="167" fontId="15" fillId="25" borderId="75" xfId="126" applyNumberFormat="1" applyFont="1" applyFill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5" fillId="25" borderId="12" xfId="0" applyFont="1" applyFill="1" applyBorder="1" applyAlignment="1" applyProtection="1">
      <alignment vertical="center"/>
    </xf>
    <xf numFmtId="167" fontId="15" fillId="25" borderId="12" xfId="126" applyNumberFormat="1" applyFont="1" applyFill="1" applyBorder="1" applyAlignment="1" applyProtection="1">
      <alignment vertical="center"/>
    </xf>
    <xf numFmtId="0" fontId="15" fillId="25" borderId="25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Alignment="1" applyProtection="1">
      <alignment vertical="center"/>
    </xf>
    <xf numFmtId="9" fontId="3" fillId="0" borderId="36" xfId="0" applyNumberFormat="1" applyFont="1" applyBorder="1" applyAlignment="1" applyProtection="1">
      <alignment horizontal="right" vertical="center"/>
    </xf>
    <xf numFmtId="9" fontId="2" fillId="0" borderId="106" xfId="0" applyNumberFormat="1" applyFont="1" applyBorder="1" applyAlignment="1" applyProtection="1">
      <alignment horizontal="center" vertical="center"/>
    </xf>
    <xf numFmtId="0" fontId="4" fillId="0" borderId="95" xfId="0" applyFont="1" applyBorder="1" applyAlignment="1" applyProtection="1">
      <alignment horizontal="right" vertical="center"/>
    </xf>
    <xf numFmtId="9" fontId="11" fillId="26" borderId="53" xfId="0" applyNumberFormat="1" applyFont="1" applyFill="1" applyBorder="1" applyAlignment="1" applyProtection="1">
      <alignment vertical="center"/>
    </xf>
    <xf numFmtId="9" fontId="11" fillId="36" borderId="53" xfId="0" applyNumberFormat="1" applyFont="1" applyFill="1" applyBorder="1" applyAlignment="1" applyProtection="1">
      <alignment vertical="center"/>
    </xf>
    <xf numFmtId="9" fontId="4" fillId="26" borderId="74" xfId="0" applyNumberFormat="1" applyFont="1" applyFill="1" applyBorder="1" applyAlignment="1" applyProtection="1">
      <alignment vertical="center"/>
    </xf>
    <xf numFmtId="9" fontId="2" fillId="36" borderId="84" xfId="0" applyNumberFormat="1" applyFont="1" applyFill="1" applyBorder="1" applyAlignment="1" applyProtection="1">
      <alignment vertical="center"/>
    </xf>
    <xf numFmtId="9" fontId="4" fillId="27" borderId="84" xfId="0" applyNumberFormat="1" applyFont="1" applyFill="1" applyBorder="1" applyAlignment="1" applyProtection="1">
      <alignment vertical="center"/>
    </xf>
    <xf numFmtId="10" fontId="2" fillId="26" borderId="47" xfId="126" applyNumberFormat="1" applyFont="1" applyFill="1" applyBorder="1" applyAlignment="1" applyProtection="1">
      <alignment vertical="center"/>
    </xf>
    <xf numFmtId="10" fontId="2" fillId="36" borderId="47" xfId="126" applyNumberFormat="1" applyFont="1" applyFill="1" applyBorder="1" applyAlignment="1" applyProtection="1">
      <alignment vertical="center"/>
    </xf>
    <xf numFmtId="10" fontId="2" fillId="27" borderId="47" xfId="126" applyNumberFormat="1" applyFont="1" applyFill="1" applyBorder="1" applyAlignment="1" applyProtection="1">
      <alignment vertical="center"/>
    </xf>
    <xf numFmtId="167" fontId="4" fillId="26" borderId="106" xfId="0" applyNumberFormat="1" applyFont="1" applyFill="1" applyBorder="1" applyAlignment="1" applyProtection="1">
      <alignment vertical="center"/>
    </xf>
    <xf numFmtId="167" fontId="4" fillId="36" borderId="106" xfId="0" applyNumberFormat="1" applyFont="1" applyFill="1" applyBorder="1" applyAlignment="1" applyProtection="1">
      <alignment vertical="center"/>
    </xf>
    <xf numFmtId="167" fontId="4" fillId="27" borderId="106" xfId="0" applyNumberFormat="1" applyFont="1" applyFill="1" applyBorder="1" applyAlignment="1" applyProtection="1">
      <alignment vertical="center"/>
    </xf>
    <xf numFmtId="0" fontId="27" fillId="0" borderId="53" xfId="0" applyFont="1" applyFill="1" applyBorder="1" applyAlignment="1" applyProtection="1">
      <alignment vertical="center"/>
    </xf>
    <xf numFmtId="0" fontId="4" fillId="0" borderId="53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72" fontId="0" fillId="0" borderId="62" xfId="85" applyNumberFormat="1" applyFont="1" applyFill="1" applyBorder="1" applyAlignment="1" applyProtection="1">
      <alignment vertical="center"/>
    </xf>
    <xf numFmtId="172" fontId="0" fillId="0" borderId="64" xfId="85" applyNumberFormat="1" applyFont="1" applyFill="1" applyBorder="1" applyAlignment="1" applyProtection="1">
      <alignment vertical="center"/>
    </xf>
    <xf numFmtId="0" fontId="0" fillId="0" borderId="83" xfId="0" applyBorder="1" applyAlignment="1" applyProtection="1">
      <alignment vertical="center"/>
    </xf>
    <xf numFmtId="0" fontId="2" fillId="0" borderId="53" xfId="0" applyFont="1" applyFill="1" applyBorder="1" applyAlignment="1" applyProtection="1">
      <alignment vertical="center"/>
    </xf>
    <xf numFmtId="0" fontId="14" fillId="0" borderId="84" xfId="0" applyFont="1" applyFill="1" applyBorder="1" applyAlignment="1" applyProtection="1">
      <alignment vertical="center"/>
    </xf>
    <xf numFmtId="0" fontId="5" fillId="0" borderId="53" xfId="0" applyFont="1" applyFill="1" applyBorder="1" applyAlignment="1" applyProtection="1">
      <alignment vertical="center"/>
    </xf>
    <xf numFmtId="172" fontId="5" fillId="0" borderId="84" xfId="85" applyNumberFormat="1" applyFont="1" applyFill="1" applyBorder="1" applyAlignment="1" applyProtection="1">
      <alignment vertical="center"/>
    </xf>
    <xf numFmtId="9" fontId="5" fillId="0" borderId="84" xfId="0" applyNumberFormat="1" applyFont="1" applyFill="1" applyBorder="1" applyAlignment="1" applyProtection="1">
      <alignment vertical="center"/>
    </xf>
    <xf numFmtId="0" fontId="0" fillId="0" borderId="107" xfId="0" applyBorder="1" applyAlignment="1" applyProtection="1">
      <alignment horizontal="center" vertical="center"/>
    </xf>
    <xf numFmtId="0" fontId="0" fillId="0" borderId="32" xfId="0" applyBorder="1" applyAlignment="1" applyProtection="1">
      <alignment vertical="center"/>
    </xf>
    <xf numFmtId="0" fontId="0" fillId="0" borderId="69" xfId="0" applyBorder="1" applyAlignment="1" applyProtection="1">
      <alignment vertical="center"/>
    </xf>
    <xf numFmtId="0" fontId="0" fillId="0" borderId="108" xfId="0" applyBorder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7" fontId="1" fillId="0" borderId="89" xfId="0" applyNumberFormat="1" applyFont="1" applyBorder="1" applyAlignment="1" applyProtection="1">
      <alignment horizontal="center" vertical="center"/>
    </xf>
    <xf numFmtId="0" fontId="0" fillId="0" borderId="73" xfId="0" applyBorder="1" applyAlignment="1" applyProtection="1">
      <alignment vertical="center"/>
    </xf>
    <xf numFmtId="0" fontId="0" fillId="0" borderId="47" xfId="0" applyBorder="1" applyAlignment="1" applyProtection="1">
      <alignment vertical="center"/>
    </xf>
    <xf numFmtId="167" fontId="2" fillId="38" borderId="25" xfId="126" applyNumberFormat="1" applyFont="1" applyFill="1" applyBorder="1" applyAlignment="1" applyProtection="1">
      <alignment vertical="center"/>
    </xf>
    <xf numFmtId="167" fontId="2" fillId="0" borderId="33" xfId="126" applyNumberFormat="1" applyFont="1" applyFill="1" applyBorder="1" applyAlignment="1" applyProtection="1">
      <alignment vertical="center"/>
    </xf>
    <xf numFmtId="167" fontId="2" fillId="38" borderId="39" xfId="126" applyNumberFormat="1" applyFont="1" applyFill="1" applyBorder="1" applyAlignment="1" applyProtection="1">
      <alignment vertical="center"/>
    </xf>
    <xf numFmtId="167" fontId="2" fillId="38" borderId="12" xfId="126" applyNumberFormat="1" applyFont="1" applyFill="1" applyBorder="1" applyAlignment="1" applyProtection="1">
      <alignment vertical="center"/>
    </xf>
    <xf numFmtId="167" fontId="2" fillId="0" borderId="12" xfId="126" applyNumberFormat="1" applyFont="1" applyFill="1" applyBorder="1" applyAlignment="1" applyProtection="1">
      <alignment vertical="center"/>
    </xf>
    <xf numFmtId="167" fontId="5" fillId="0" borderId="59" xfId="126" applyNumberFormat="1" applyFont="1" applyFill="1" applyBorder="1" applyAlignment="1" applyProtection="1">
      <alignment vertical="center"/>
    </xf>
    <xf numFmtId="167" fontId="2" fillId="24" borderId="25" xfId="126" applyNumberFormat="1" applyFont="1" applyFill="1" applyBorder="1" applyAlignment="1" applyProtection="1">
      <alignment vertical="center"/>
    </xf>
    <xf numFmtId="167" fontId="2" fillId="24" borderId="39" xfId="126" applyNumberFormat="1" applyFont="1" applyFill="1" applyBorder="1" applyAlignment="1" applyProtection="1">
      <alignment vertical="center"/>
    </xf>
    <xf numFmtId="167" fontId="2" fillId="24" borderId="12" xfId="126" applyNumberFormat="1" applyFont="1" applyFill="1" applyBorder="1" applyAlignment="1" applyProtection="1">
      <alignment vertical="center"/>
    </xf>
    <xf numFmtId="167" fontId="2" fillId="0" borderId="42" xfId="126" applyNumberFormat="1" applyFont="1" applyFill="1" applyBorder="1" applyAlignment="1" applyProtection="1">
      <alignment vertical="center"/>
    </xf>
    <xf numFmtId="167" fontId="2" fillId="24" borderId="42" xfId="126" applyNumberFormat="1" applyFont="1" applyFill="1" applyBorder="1" applyAlignment="1" applyProtection="1">
      <alignment vertical="center"/>
    </xf>
    <xf numFmtId="167" fontId="5" fillId="0" borderId="19" xfId="126" applyNumberFormat="1" applyFont="1" applyBorder="1" applyAlignment="1" applyProtection="1">
      <alignment vertical="center"/>
    </xf>
    <xf numFmtId="167" fontId="5" fillId="0" borderId="21" xfId="126" applyNumberFormat="1" applyFont="1" applyBorder="1" applyAlignment="1" applyProtection="1">
      <alignment vertical="center"/>
    </xf>
    <xf numFmtId="167" fontId="5" fillId="0" borderId="23" xfId="126" applyNumberFormat="1" applyFont="1" applyBorder="1" applyAlignment="1" applyProtection="1">
      <alignment vertical="center"/>
    </xf>
    <xf numFmtId="167" fontId="2" fillId="25" borderId="39" xfId="126" applyNumberFormat="1" applyFont="1" applyFill="1" applyBorder="1" applyAlignment="1" applyProtection="1">
      <alignment vertical="center"/>
    </xf>
    <xf numFmtId="167" fontId="2" fillId="24" borderId="44" xfId="126" applyNumberFormat="1" applyFont="1" applyFill="1" applyBorder="1" applyAlignment="1" applyProtection="1">
      <alignment vertical="center"/>
    </xf>
    <xf numFmtId="167" fontId="5" fillId="0" borderId="91" xfId="126" applyNumberFormat="1" applyFont="1" applyBorder="1" applyAlignment="1" applyProtection="1">
      <alignment vertical="center"/>
    </xf>
    <xf numFmtId="167" fontId="5" fillId="0" borderId="18" xfId="126" applyNumberFormat="1" applyFont="1" applyBorder="1" applyAlignment="1" applyProtection="1">
      <alignment vertical="center"/>
    </xf>
    <xf numFmtId="167" fontId="5" fillId="0" borderId="62" xfId="126" applyNumberFormat="1" applyFont="1" applyBorder="1" applyAlignment="1" applyProtection="1">
      <alignment vertical="center"/>
    </xf>
    <xf numFmtId="167" fontId="5" fillId="0" borderId="64" xfId="126" applyNumberFormat="1" applyFont="1" applyBorder="1" applyAlignment="1" applyProtection="1">
      <alignment vertical="center"/>
    </xf>
    <xf numFmtId="167" fontId="2" fillId="24" borderId="29" xfId="126" applyNumberFormat="1" applyFont="1" applyFill="1" applyBorder="1" applyAlignment="1" applyProtection="1">
      <alignment vertical="center"/>
    </xf>
    <xf numFmtId="167" fontId="2" fillId="24" borderId="30" xfId="126" applyNumberFormat="1" applyFont="1" applyFill="1" applyBorder="1" applyAlignment="1" applyProtection="1">
      <alignment vertical="center"/>
    </xf>
    <xf numFmtId="167" fontId="2" fillId="0" borderId="36" xfId="126" applyNumberFormat="1" applyFont="1" applyFill="1" applyBorder="1" applyAlignment="1" applyProtection="1">
      <alignment vertical="center"/>
    </xf>
    <xf numFmtId="167" fontId="2" fillId="0" borderId="85" xfId="126" applyNumberFormat="1" applyFont="1" applyFill="1" applyBorder="1" applyAlignment="1" applyProtection="1">
      <alignment vertical="center"/>
    </xf>
    <xf numFmtId="167" fontId="2" fillId="25" borderId="41" xfId="126" applyNumberFormat="1" applyFont="1" applyFill="1" applyBorder="1" applyAlignment="1" applyProtection="1">
      <alignment vertical="center"/>
    </xf>
    <xf numFmtId="167" fontId="2" fillId="25" borderId="40" xfId="126" applyNumberFormat="1" applyFont="1" applyFill="1" applyBorder="1" applyAlignment="1" applyProtection="1">
      <alignment vertical="center"/>
    </xf>
    <xf numFmtId="167" fontId="5" fillId="0" borderId="93" xfId="126" applyNumberFormat="1" applyFont="1" applyBorder="1" applyAlignment="1" applyProtection="1">
      <alignment vertical="center"/>
    </xf>
    <xf numFmtId="167" fontId="5" fillId="0" borderId="94" xfId="126" applyNumberFormat="1" applyFont="1" applyBorder="1" applyAlignment="1" applyProtection="1">
      <alignment vertical="center"/>
    </xf>
    <xf numFmtId="167" fontId="2" fillId="24" borderId="15" xfId="126" applyNumberFormat="1" applyFont="1" applyFill="1" applyBorder="1" applyAlignment="1" applyProtection="1">
      <alignment vertical="center"/>
    </xf>
    <xf numFmtId="167" fontId="2" fillId="24" borderId="14" xfId="126" applyNumberFormat="1" applyFont="1" applyFill="1" applyBorder="1" applyAlignment="1" applyProtection="1">
      <alignment vertical="center"/>
    </xf>
    <xf numFmtId="167" fontId="2" fillId="0" borderId="29" xfId="126" applyNumberFormat="1" applyFont="1" applyFill="1" applyBorder="1" applyAlignment="1" applyProtection="1">
      <alignment vertical="center"/>
    </xf>
    <xf numFmtId="167" fontId="2" fillId="0" borderId="30" xfId="126" applyNumberFormat="1" applyFont="1" applyFill="1" applyBorder="1" applyAlignment="1" applyProtection="1">
      <alignment vertical="center"/>
    </xf>
    <xf numFmtId="167" fontId="2" fillId="24" borderId="46" xfId="126" applyNumberFormat="1" applyFont="1" applyFill="1" applyBorder="1" applyAlignment="1" applyProtection="1">
      <alignment vertical="center"/>
    </xf>
    <xf numFmtId="167" fontId="2" fillId="24" borderId="45" xfId="126" applyNumberFormat="1" applyFont="1" applyFill="1" applyBorder="1" applyAlignment="1" applyProtection="1">
      <alignment vertical="center"/>
    </xf>
    <xf numFmtId="167" fontId="2" fillId="24" borderId="109" xfId="126" applyNumberFormat="1" applyFont="1" applyFill="1" applyBorder="1" applyAlignment="1" applyProtection="1">
      <alignment vertical="center"/>
    </xf>
    <xf numFmtId="167" fontId="5" fillId="0" borderId="110" xfId="126" applyNumberFormat="1" applyFont="1" applyBorder="1" applyAlignment="1" applyProtection="1">
      <alignment vertical="center"/>
    </xf>
    <xf numFmtId="167" fontId="2" fillId="24" borderId="111" xfId="126" applyNumberFormat="1" applyFont="1" applyFill="1" applyBorder="1" applyAlignment="1" applyProtection="1">
      <alignment vertical="center"/>
    </xf>
    <xf numFmtId="167" fontId="2" fillId="0" borderId="76" xfId="126" applyNumberFormat="1" applyFont="1" applyFill="1" applyBorder="1" applyAlignment="1" applyProtection="1">
      <alignment vertical="center"/>
    </xf>
    <xf numFmtId="167" fontId="2" fillId="0" borderId="104" xfId="126" applyNumberFormat="1" applyFont="1" applyFill="1" applyBorder="1" applyAlignment="1" applyProtection="1">
      <alignment vertical="center"/>
    </xf>
    <xf numFmtId="167" fontId="2" fillId="25" borderId="107" xfId="126" applyNumberFormat="1" applyFont="1" applyFill="1" applyBorder="1" applyAlignment="1" applyProtection="1">
      <alignment vertical="center"/>
    </xf>
    <xf numFmtId="167" fontId="5" fillId="0" borderId="112" xfId="126" applyNumberFormat="1" applyFont="1" applyBorder="1" applyAlignment="1" applyProtection="1">
      <alignment vertical="center"/>
    </xf>
    <xf numFmtId="167" fontId="5" fillId="0" borderId="113" xfId="126" applyNumberFormat="1" applyFont="1" applyBorder="1" applyAlignment="1" applyProtection="1">
      <alignment vertical="center"/>
    </xf>
    <xf numFmtId="167" fontId="2" fillId="0" borderId="111" xfId="126" applyNumberFormat="1" applyFont="1" applyFill="1" applyBorder="1" applyAlignment="1" applyProtection="1">
      <alignment vertical="center"/>
    </xf>
    <xf numFmtId="167" fontId="2" fillId="24" borderId="114" xfId="126" applyNumberFormat="1" applyFont="1" applyFill="1" applyBorder="1" applyAlignment="1" applyProtection="1">
      <alignment vertical="center"/>
    </xf>
    <xf numFmtId="167" fontId="2" fillId="26" borderId="74" xfId="82" applyNumberFormat="1" applyFont="1" applyFill="1" applyBorder="1" applyAlignment="1" applyProtection="1">
      <alignment vertical="center"/>
    </xf>
    <xf numFmtId="167" fontId="2" fillId="26" borderId="39" xfId="82" applyNumberFormat="1" applyFont="1" applyFill="1" applyBorder="1" applyAlignment="1" applyProtection="1">
      <alignment vertical="center"/>
    </xf>
    <xf numFmtId="167" fontId="2" fillId="36" borderId="32" xfId="126" applyNumberFormat="1" applyFont="1" applyFill="1" applyBorder="1" applyAlignment="1" applyProtection="1">
      <alignment vertical="center"/>
    </xf>
    <xf numFmtId="167" fontId="2" fillId="36" borderId="38" xfId="126" applyNumberFormat="1" applyFont="1" applyFill="1" applyBorder="1" applyAlignment="1" applyProtection="1">
      <alignment vertical="center"/>
    </xf>
    <xf numFmtId="167" fontId="2" fillId="27" borderId="32" xfId="126" applyNumberFormat="1" applyFont="1" applyFill="1" applyBorder="1" applyAlignment="1" applyProtection="1">
      <alignment vertical="center"/>
    </xf>
    <xf numFmtId="167" fontId="2" fillId="27" borderId="38" xfId="126" applyNumberFormat="1" applyFont="1" applyFill="1" applyBorder="1" applyAlignment="1" applyProtection="1">
      <alignment vertical="center"/>
    </xf>
    <xf numFmtId="166" fontId="2" fillId="25" borderId="15" xfId="82" applyNumberFormat="1" applyFont="1" applyFill="1" applyBorder="1" applyAlignment="1" applyProtection="1">
      <alignment vertical="center"/>
    </xf>
    <xf numFmtId="176" fontId="2" fillId="0" borderId="115" xfId="82" applyNumberFormat="1" applyFont="1" applyFill="1" applyBorder="1" applyAlignment="1" applyProtection="1">
      <alignment horizontal="center" vertical="center"/>
    </xf>
    <xf numFmtId="176" fontId="2" fillId="0" borderId="112" xfId="82" applyNumberFormat="1" applyFont="1" applyFill="1" applyBorder="1" applyAlignment="1" applyProtection="1">
      <alignment horizontal="center" vertical="center"/>
    </xf>
    <xf numFmtId="176" fontId="2" fillId="0" borderId="116" xfId="82" applyNumberFormat="1" applyFont="1" applyFill="1" applyBorder="1" applyAlignment="1" applyProtection="1">
      <alignment horizontal="center" vertical="center"/>
    </xf>
    <xf numFmtId="176" fontId="2" fillId="25" borderId="117" xfId="82" applyNumberFormat="1" applyFont="1" applyFill="1" applyBorder="1" applyAlignment="1" applyProtection="1">
      <alignment horizontal="center" vertical="center"/>
    </xf>
    <xf numFmtId="166" fontId="2" fillId="38" borderId="41" xfId="82" applyNumberFormat="1" applyFont="1" applyFill="1" applyBorder="1" applyAlignment="1" applyProtection="1">
      <alignment vertical="center"/>
    </xf>
    <xf numFmtId="166" fontId="7" fillId="37" borderId="91" xfId="82" applyNumberFormat="1" applyFont="1" applyFill="1" applyBorder="1" applyAlignment="1" applyProtection="1">
      <alignment vertical="center"/>
    </xf>
    <xf numFmtId="166" fontId="4" fillId="25" borderId="15" xfId="0" applyNumberFormat="1" applyFont="1" applyFill="1" applyBorder="1" applyAlignment="1" applyProtection="1">
      <alignment vertical="center"/>
    </xf>
    <xf numFmtId="166" fontId="4" fillId="0" borderId="98" xfId="0" applyNumberFormat="1" applyFont="1" applyBorder="1" applyAlignment="1" applyProtection="1">
      <alignment vertical="center"/>
    </xf>
    <xf numFmtId="166" fontId="2" fillId="25" borderId="11" xfId="82" applyNumberFormat="1" applyFont="1" applyFill="1" applyBorder="1" applyAlignment="1" applyProtection="1">
      <alignment vertical="center"/>
    </xf>
    <xf numFmtId="179" fontId="2" fillId="0" borderId="16" xfId="85" applyNumberFormat="1" applyFont="1" applyFill="1" applyBorder="1" applyAlignment="1" applyProtection="1">
      <alignment horizontal="center" vertical="center"/>
    </xf>
    <xf numFmtId="179" fontId="2" fillId="24" borderId="24" xfId="0" applyNumberFormat="1" applyFont="1" applyFill="1" applyBorder="1" applyAlignment="1" applyProtection="1">
      <alignment horizontal="center" vertical="center"/>
    </xf>
    <xf numFmtId="166" fontId="2" fillId="0" borderId="32" xfId="82" applyNumberFormat="1" applyFont="1" applyFill="1" applyBorder="1" applyAlignment="1" applyProtection="1">
      <alignment vertical="center"/>
    </xf>
    <xf numFmtId="166" fontId="2" fillId="38" borderId="38" xfId="82" applyNumberFormat="1" applyFont="1" applyFill="1" applyBorder="1" applyAlignment="1" applyProtection="1">
      <alignment vertical="center"/>
    </xf>
    <xf numFmtId="166" fontId="7" fillId="37" borderId="16" xfId="82" applyNumberFormat="1" applyFont="1" applyFill="1" applyBorder="1" applyAlignment="1" applyProtection="1">
      <alignment vertical="center"/>
    </xf>
    <xf numFmtId="166" fontId="4" fillId="25" borderId="11" xfId="0" applyNumberFormat="1" applyFont="1" applyFill="1" applyBorder="1" applyAlignment="1" applyProtection="1">
      <alignment vertical="center"/>
    </xf>
    <xf numFmtId="166" fontId="4" fillId="0" borderId="69" xfId="0" applyNumberFormat="1" applyFont="1" applyBorder="1" applyAlignment="1" applyProtection="1">
      <alignment vertical="center"/>
    </xf>
    <xf numFmtId="0" fontId="4" fillId="0" borderId="69" xfId="0" applyFont="1" applyFill="1" applyBorder="1" applyAlignment="1" applyProtection="1">
      <alignment vertical="center"/>
    </xf>
    <xf numFmtId="166" fontId="5" fillId="0" borderId="118" xfId="82" applyNumberFormat="1" applyFont="1" applyFill="1" applyBorder="1" applyAlignment="1" applyProtection="1">
      <alignment vertical="center"/>
    </xf>
    <xf numFmtId="166" fontId="5" fillId="0" borderId="59" xfId="0" applyNumberFormat="1" applyFont="1" applyFill="1" applyBorder="1" applyAlignment="1" applyProtection="1">
      <alignment vertical="center"/>
    </xf>
    <xf numFmtId="167" fontId="5" fillId="0" borderId="17" xfId="126" applyNumberFormat="1" applyFont="1" applyFill="1" applyBorder="1" applyAlignment="1" applyProtection="1">
      <alignment vertical="center"/>
    </xf>
    <xf numFmtId="166" fontId="5" fillId="0" borderId="21" xfId="82" applyNumberFormat="1" applyFont="1" applyFill="1" applyBorder="1" applyAlignment="1" applyProtection="1">
      <alignment vertical="center"/>
    </xf>
    <xf numFmtId="167" fontId="5" fillId="0" borderId="21" xfId="126" applyNumberFormat="1" applyFont="1" applyFill="1" applyBorder="1" applyAlignment="1" applyProtection="1">
      <alignment vertical="center"/>
    </xf>
    <xf numFmtId="166" fontId="5" fillId="0" borderId="119" xfId="82" applyNumberFormat="1" applyFont="1" applyFill="1" applyBorder="1" applyAlignment="1" applyProtection="1">
      <alignment vertical="center"/>
    </xf>
    <xf numFmtId="166" fontId="5" fillId="0" borderId="21" xfId="0" applyNumberFormat="1" applyFont="1" applyFill="1" applyBorder="1" applyAlignment="1" applyProtection="1">
      <alignment vertical="center"/>
    </xf>
    <xf numFmtId="167" fontId="5" fillId="0" borderId="62" xfId="126" applyNumberFormat="1" applyFont="1" applyFill="1" applyBorder="1" applyAlignment="1" applyProtection="1">
      <alignment vertical="center"/>
    </xf>
    <xf numFmtId="166" fontId="5" fillId="0" borderId="120" xfId="82" applyNumberFormat="1" applyFont="1" applyFill="1" applyBorder="1" applyAlignment="1" applyProtection="1">
      <alignment vertical="center"/>
    </xf>
    <xf numFmtId="167" fontId="5" fillId="0" borderId="120" xfId="126" applyNumberFormat="1" applyFont="1" applyFill="1" applyBorder="1" applyAlignment="1" applyProtection="1">
      <alignment vertical="center"/>
    </xf>
    <xf numFmtId="166" fontId="5" fillId="0" borderId="121" xfId="82" applyNumberFormat="1" applyFont="1" applyFill="1" applyBorder="1" applyAlignment="1" applyProtection="1">
      <alignment vertical="center"/>
    </xf>
    <xf numFmtId="10" fontId="5" fillId="0" borderId="120" xfId="126" applyNumberFormat="1" applyFont="1" applyFill="1" applyBorder="1" applyAlignment="1" applyProtection="1">
      <alignment vertical="center"/>
    </xf>
    <xf numFmtId="166" fontId="0" fillId="0" borderId="120" xfId="0" applyNumberFormat="1" applyBorder="1" applyAlignment="1" applyProtection="1">
      <alignment vertical="center"/>
    </xf>
    <xf numFmtId="167" fontId="0" fillId="0" borderId="122" xfId="126" applyNumberFormat="1" applyFont="1" applyBorder="1" applyAlignment="1" applyProtection="1">
      <alignment vertical="center"/>
    </xf>
    <xf numFmtId="166" fontId="5" fillId="0" borderId="118" xfId="126" applyNumberFormat="1" applyFont="1" applyBorder="1" applyAlignment="1" applyProtection="1">
      <alignment vertical="center"/>
    </xf>
    <xf numFmtId="166" fontId="5" fillId="0" borderId="119" xfId="126" applyNumberFormat="1" applyFont="1" applyBorder="1" applyAlignment="1" applyProtection="1">
      <alignment vertical="center"/>
    </xf>
    <xf numFmtId="166" fontId="5" fillId="0" borderId="121" xfId="126" applyNumberFormat="1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47" xfId="0" applyBorder="1" applyAlignment="1" applyProtection="1">
      <alignment horizontal="center" vertical="center"/>
    </xf>
    <xf numFmtId="7" fontId="1" fillId="0" borderId="32" xfId="0" applyNumberFormat="1" applyFont="1" applyBorder="1" applyAlignment="1" applyProtection="1">
      <alignment horizontal="center" vertical="center"/>
    </xf>
    <xf numFmtId="7" fontId="1" fillId="0" borderId="69" xfId="0" applyNumberFormat="1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7" fillId="0" borderId="77" xfId="0" applyFont="1" applyFill="1" applyBorder="1" applyAlignment="1" applyProtection="1">
      <alignment vertical="center" wrapText="1"/>
    </xf>
    <xf numFmtId="0" fontId="27" fillId="0" borderId="79" xfId="0" applyFont="1" applyFill="1" applyBorder="1" applyAlignment="1" applyProtection="1">
      <alignment horizontal="center" vertical="center" wrapText="1"/>
    </xf>
    <xf numFmtId="0" fontId="27" fillId="0" borderId="108" xfId="0" applyFont="1" applyFill="1" applyBorder="1" applyAlignment="1" applyProtection="1">
      <alignment vertical="center" wrapText="1"/>
    </xf>
    <xf numFmtId="0" fontId="28" fillId="0" borderId="47" xfId="0" applyFont="1" applyBorder="1" applyAlignment="1" applyProtection="1">
      <alignment horizontal="center" vertical="center" wrapText="1"/>
    </xf>
    <xf numFmtId="0" fontId="8" fillId="39" borderId="50" xfId="0" applyFont="1" applyFill="1" applyBorder="1" applyAlignment="1" applyProtection="1">
      <alignment horizontal="center" vertical="center" wrapText="1"/>
    </xf>
    <xf numFmtId="0" fontId="28" fillId="0" borderId="51" xfId="0" applyFont="1" applyBorder="1" applyAlignment="1" applyProtection="1">
      <alignment horizontal="center" vertical="center" wrapText="1"/>
    </xf>
    <xf numFmtId="0" fontId="27" fillId="0" borderId="53" xfId="0" applyFont="1" applyFill="1" applyBorder="1" applyAlignment="1" applyProtection="1">
      <alignment vertical="center" wrapText="1"/>
    </xf>
    <xf numFmtId="10" fontId="30" fillId="0" borderId="32" xfId="0" applyNumberFormat="1" applyFont="1" applyBorder="1" applyAlignment="1" applyProtection="1">
      <alignment vertical="center" wrapText="1"/>
    </xf>
    <xf numFmtId="10" fontId="0" fillId="0" borderId="0" xfId="0" applyNumberFormat="1" applyAlignment="1" applyProtection="1">
      <alignment wrapText="1"/>
    </xf>
    <xf numFmtId="10" fontId="0" fillId="0" borderId="51" xfId="0" applyNumberFormat="1" applyBorder="1" applyAlignment="1" applyProtection="1">
      <alignment vertical="center" wrapText="1"/>
    </xf>
    <xf numFmtId="4" fontId="27" fillId="0" borderId="0" xfId="0" applyNumberFormat="1" applyFont="1" applyFill="1" applyBorder="1" applyAlignment="1" applyProtection="1">
      <alignment horizontal="center" vertical="center"/>
    </xf>
    <xf numFmtId="4" fontId="27" fillId="0" borderId="32" xfId="0" applyNumberFormat="1" applyFont="1" applyFill="1" applyBorder="1" applyAlignment="1" applyProtection="1">
      <alignment horizontal="center" vertical="center"/>
    </xf>
    <xf numFmtId="4" fontId="27" fillId="40" borderId="11" xfId="0" applyNumberFormat="1" applyFont="1" applyFill="1" applyBorder="1" applyAlignment="1" applyProtection="1">
      <alignment horizontal="center" vertical="center"/>
    </xf>
    <xf numFmtId="0" fontId="0" fillId="0" borderId="51" xfId="0" applyBorder="1" applyAlignment="1" applyProtection="1">
      <alignment vertical="center"/>
    </xf>
    <xf numFmtId="4" fontId="27" fillId="40" borderId="24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8" fillId="0" borderId="0" xfId="0" quotePrefix="1" applyFont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5" fillId="35" borderId="79" xfId="0" applyFont="1" applyFill="1" applyBorder="1" applyAlignment="1" applyProtection="1">
      <alignment horizontal="center" vertical="center" wrapText="1"/>
    </xf>
    <xf numFmtId="0" fontId="15" fillId="35" borderId="51" xfId="0" applyFont="1" applyFill="1" applyBorder="1" applyAlignment="1" applyProtection="1">
      <alignment horizontal="center" vertical="center" wrapText="1"/>
    </xf>
    <xf numFmtId="172" fontId="15" fillId="35" borderId="51" xfId="85" applyNumberFormat="1" applyFont="1" applyFill="1" applyBorder="1" applyAlignment="1" applyProtection="1">
      <alignment vertical="center"/>
    </xf>
    <xf numFmtId="0" fontId="29" fillId="39" borderId="111" xfId="0" applyFont="1" applyFill="1" applyBorder="1" applyAlignment="1" applyProtection="1">
      <alignment horizontal="center" vertical="center" wrapText="1"/>
    </xf>
    <xf numFmtId="0" fontId="0" fillId="0" borderId="51" xfId="0" applyBorder="1" applyProtection="1"/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Alignment="1">
      <alignment wrapText="1"/>
    </xf>
    <xf numFmtId="7" fontId="1" fillId="0" borderId="84" xfId="0" applyNumberFormat="1" applyFont="1" applyFill="1" applyBorder="1" applyAlignment="1" applyProtection="1">
      <alignment horizontal="center" vertical="center"/>
    </xf>
    <xf numFmtId="172" fontId="2" fillId="29" borderId="52" xfId="85" applyNumberFormat="1" applyFont="1" applyFill="1" applyBorder="1" applyAlignment="1" applyProtection="1">
      <alignment vertical="center"/>
    </xf>
    <xf numFmtId="3" fontId="2" fillId="29" borderId="49" xfId="85" applyNumberFormat="1" applyFont="1" applyFill="1" applyBorder="1" applyAlignment="1" applyProtection="1">
      <alignment vertical="center"/>
    </xf>
    <xf numFmtId="172" fontId="5" fillId="29" borderId="91" xfId="85" applyNumberFormat="1" applyFont="1" applyFill="1" applyBorder="1" applyAlignment="1" applyProtection="1">
      <alignment vertical="center"/>
    </xf>
    <xf numFmtId="172" fontId="5" fillId="29" borderId="93" xfId="85" applyNumberFormat="1" applyFont="1" applyFill="1" applyBorder="1" applyAlignment="1" applyProtection="1">
      <alignment vertical="center"/>
    </xf>
    <xf numFmtId="172" fontId="5" fillId="29" borderId="94" xfId="85" applyNumberFormat="1" applyFont="1" applyFill="1" applyBorder="1" applyAlignment="1" applyProtection="1">
      <alignment vertical="center"/>
    </xf>
    <xf numFmtId="172" fontId="2" fillId="29" borderId="28" xfId="85" applyNumberFormat="1" applyFont="1" applyFill="1" applyBorder="1" applyAlignment="1" applyProtection="1">
      <alignment vertical="center"/>
    </xf>
    <xf numFmtId="172" fontId="2" fillId="29" borderId="0" xfId="85" applyNumberFormat="1" applyFont="1" applyFill="1" applyBorder="1" applyAlignment="1" applyProtection="1">
      <alignment vertical="center"/>
    </xf>
    <xf numFmtId="172" fontId="2" fillId="29" borderId="41" xfId="85" applyNumberFormat="1" applyFont="1" applyFill="1" applyBorder="1" applyAlignment="1" applyProtection="1">
      <alignment vertical="center"/>
    </xf>
    <xf numFmtId="172" fontId="2" fillId="29" borderId="15" xfId="85" applyNumberFormat="1" applyFont="1" applyFill="1" applyBorder="1" applyAlignment="1" applyProtection="1">
      <alignment vertical="center"/>
    </xf>
    <xf numFmtId="172" fontId="5" fillId="29" borderId="0" xfId="85" applyNumberFormat="1" applyFont="1" applyFill="1" applyBorder="1" applyAlignment="1" applyProtection="1">
      <alignment vertical="center"/>
    </xf>
    <xf numFmtId="172" fontId="2" fillId="29" borderId="91" xfId="85" applyNumberFormat="1" applyFont="1" applyFill="1" applyBorder="1" applyAlignment="1" applyProtection="1">
      <alignment vertical="center"/>
    </xf>
    <xf numFmtId="172" fontId="4" fillId="29" borderId="15" xfId="85" applyNumberFormat="1" applyFont="1" applyFill="1" applyBorder="1" applyAlignment="1" applyProtection="1">
      <alignment horizontal="right" vertical="center"/>
    </xf>
    <xf numFmtId="0" fontId="2" fillId="29" borderId="98" xfId="0" applyFont="1" applyFill="1" applyBorder="1" applyAlignment="1" applyProtection="1">
      <alignment vertical="center"/>
    </xf>
    <xf numFmtId="172" fontId="4" fillId="29" borderId="49" xfId="85" applyNumberFormat="1" applyFont="1" applyFill="1" applyBorder="1" applyAlignment="1" applyProtection="1">
      <alignment horizontal="right" vertical="center"/>
    </xf>
    <xf numFmtId="172" fontId="2" fillId="29" borderId="123" xfId="85" applyNumberFormat="1" applyFont="1" applyFill="1" applyBorder="1" applyAlignment="1" applyProtection="1">
      <alignment vertical="center"/>
    </xf>
    <xf numFmtId="0" fontId="2" fillId="29" borderId="103" xfId="0" applyFont="1" applyFill="1" applyBorder="1" applyAlignment="1" applyProtection="1">
      <alignment vertical="center"/>
    </xf>
    <xf numFmtId="167" fontId="16" fillId="0" borderId="12" xfId="126" applyNumberFormat="1" applyFont="1" applyBorder="1" applyAlignment="1" applyProtection="1">
      <alignment horizontal="right" vertical="center"/>
    </xf>
    <xf numFmtId="167" fontId="15" fillId="0" borderId="12" xfId="126" applyNumberFormat="1" applyFont="1" applyFill="1" applyBorder="1" applyAlignment="1" applyProtection="1">
      <alignment horizontal="right" vertical="center"/>
    </xf>
    <xf numFmtId="0" fontId="0" fillId="0" borderId="53" xfId="0" applyFill="1" applyBorder="1" applyAlignment="1" applyProtection="1">
      <alignment vertical="center"/>
    </xf>
    <xf numFmtId="176" fontId="2" fillId="0" borderId="34" xfId="82" applyNumberFormat="1" applyFont="1" applyFill="1" applyBorder="1" applyAlignment="1" applyProtection="1">
      <alignment horizontal="center" vertical="center"/>
    </xf>
    <xf numFmtId="176" fontId="2" fillId="0" borderId="53" xfId="82" applyNumberFormat="1" applyFont="1" applyFill="1" applyBorder="1" applyAlignment="1" applyProtection="1">
      <alignment horizontal="center" vertical="center"/>
    </xf>
    <xf numFmtId="0" fontId="31" fillId="0" borderId="0" xfId="0" applyFont="1" applyFill="1" applyAlignment="1">
      <alignment horizontal="justify" wrapText="1"/>
    </xf>
    <xf numFmtId="0" fontId="9" fillId="0" borderId="0" xfId="0" applyFont="1" applyAlignment="1" applyProtection="1">
      <alignment horizontal="center" vertical="center" wrapText="1"/>
    </xf>
    <xf numFmtId="0" fontId="4" fillId="0" borderId="90" xfId="0" applyFont="1" applyFill="1" applyBorder="1" applyAlignment="1" applyProtection="1">
      <alignment horizontal="center" vertical="center" wrapText="1"/>
    </xf>
    <xf numFmtId="0" fontId="0" fillId="0" borderId="50" xfId="0" applyFill="1" applyBorder="1" applyAlignment="1" applyProtection="1">
      <alignment horizontal="center" vertical="center"/>
    </xf>
    <xf numFmtId="172" fontId="5" fillId="29" borderId="56" xfId="85" applyNumberFormat="1" applyFont="1" applyFill="1" applyBorder="1" applyAlignment="1" applyProtection="1">
      <alignment vertical="center"/>
    </xf>
    <xf numFmtId="172" fontId="5" fillId="29" borderId="16" xfId="85" applyNumberFormat="1" applyFont="1" applyFill="1" applyBorder="1" applyAlignment="1" applyProtection="1">
      <alignment vertical="center"/>
    </xf>
    <xf numFmtId="172" fontId="5" fillId="29" borderId="20" xfId="85" applyNumberFormat="1" applyFont="1" applyFill="1" applyBorder="1" applyAlignment="1" applyProtection="1">
      <alignment vertical="center"/>
    </xf>
    <xf numFmtId="172" fontId="5" fillId="29" borderId="22" xfId="85" applyNumberFormat="1" applyFont="1" applyFill="1" applyBorder="1" applyAlignment="1" applyProtection="1">
      <alignment vertical="center"/>
    </xf>
    <xf numFmtId="172" fontId="2" fillId="29" borderId="24" xfId="85" applyNumberFormat="1" applyFont="1" applyFill="1" applyBorder="1" applyAlignment="1" applyProtection="1">
      <alignment vertical="center"/>
    </xf>
    <xf numFmtId="172" fontId="2" fillId="29" borderId="32" xfId="85" applyNumberFormat="1" applyFont="1" applyFill="1" applyBorder="1" applyAlignment="1" applyProtection="1">
      <alignment vertical="center"/>
    </xf>
    <xf numFmtId="172" fontId="2" fillId="29" borderId="38" xfId="85" applyNumberFormat="1" applyFont="1" applyFill="1" applyBorder="1" applyAlignment="1" applyProtection="1">
      <alignment vertical="center"/>
    </xf>
    <xf numFmtId="172" fontId="2" fillId="29" borderId="11" xfId="85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32" fillId="0" borderId="0" xfId="0" applyFont="1" applyAlignment="1" applyProtection="1">
      <alignment vertical="center"/>
    </xf>
    <xf numFmtId="166" fontId="32" fillId="0" borderId="0" xfId="0" applyNumberFormat="1" applyFont="1" applyAlignment="1" applyProtection="1">
      <alignment vertical="center"/>
    </xf>
    <xf numFmtId="0" fontId="33" fillId="0" borderId="0" xfId="0" applyFont="1" applyFill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34" fillId="0" borderId="0" xfId="0" applyFont="1" applyAlignment="1" applyProtection="1">
      <alignment horizontal="right" vertical="center"/>
    </xf>
    <xf numFmtId="174" fontId="5" fillId="0" borderId="0" xfId="85" applyNumberFormat="1" applyFont="1" applyAlignment="1" applyProtection="1">
      <alignment horizontal="left" vertical="center"/>
    </xf>
    <xf numFmtId="0" fontId="0" fillId="0" borderId="87" xfId="0" applyBorder="1" applyAlignment="1" applyProtection="1">
      <alignment horizontal="center" vertical="center" wrapText="1"/>
    </xf>
    <xf numFmtId="0" fontId="0" fillId="0" borderId="52" xfId="0" applyBorder="1" applyAlignment="1" applyProtection="1">
      <alignment horizontal="center" vertical="center"/>
    </xf>
    <xf numFmtId="0" fontId="4" fillId="0" borderId="73" xfId="0" applyFont="1" applyBorder="1" applyAlignment="1" applyProtection="1">
      <alignment vertical="center"/>
    </xf>
    <xf numFmtId="0" fontId="0" fillId="0" borderId="31" xfId="0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1" fillId="0" borderId="0" xfId="0" applyFont="1" applyAlignment="1">
      <alignment horizontal="justify" wrapText="1"/>
    </xf>
    <xf numFmtId="10" fontId="28" fillId="40" borderId="86" xfId="0" applyNumberFormat="1" applyFont="1" applyFill="1" applyBorder="1" applyAlignment="1" applyProtection="1">
      <alignment horizontal="center" vertical="center" wrapText="1"/>
    </xf>
    <xf numFmtId="10" fontId="28" fillId="40" borderId="51" xfId="0" applyNumberFormat="1" applyFont="1" applyFill="1" applyBorder="1" applyAlignment="1" applyProtection="1">
      <alignment horizontal="center" vertical="center" wrapText="1"/>
    </xf>
    <xf numFmtId="10" fontId="28" fillId="40" borderId="124" xfId="0" applyNumberFormat="1" applyFont="1" applyFill="1" applyBorder="1" applyAlignment="1" applyProtection="1">
      <alignment horizontal="center" vertical="center" wrapText="1"/>
    </xf>
    <xf numFmtId="3" fontId="0" fillId="0" borderId="84" xfId="0" applyNumberFormat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8" fillId="0" borderId="84" xfId="0" applyFont="1" applyFill="1" applyBorder="1" applyAlignment="1" applyProtection="1">
      <alignment horizontal="center" vertical="center" wrapText="1"/>
    </xf>
    <xf numFmtId="10" fontId="0" fillId="0" borderId="84" xfId="0" applyNumberFormat="1" applyFill="1" applyBorder="1" applyAlignment="1" applyProtection="1">
      <alignment vertical="center" wrapText="1"/>
    </xf>
    <xf numFmtId="10" fontId="28" fillId="0" borderId="84" xfId="0" applyNumberFormat="1" applyFont="1" applyFill="1" applyBorder="1" applyAlignment="1" applyProtection="1">
      <alignment horizontal="center" vertical="center" wrapText="1"/>
    </xf>
    <xf numFmtId="10" fontId="28" fillId="0" borderId="0" xfId="0" applyNumberFormat="1" applyFont="1" applyFill="1" applyBorder="1" applyAlignment="1" applyProtection="1">
      <alignment horizontal="center" vertical="center" wrapText="1"/>
    </xf>
    <xf numFmtId="4" fontId="28" fillId="0" borderId="77" xfId="0" applyNumberFormat="1" applyFont="1" applyBorder="1" applyAlignment="1" applyProtection="1">
      <alignment horizontal="center" vertical="center" wrapText="1"/>
    </xf>
    <xf numFmtId="173" fontId="28" fillId="0" borderId="83" xfId="0" applyNumberFormat="1" applyFont="1" applyBorder="1" applyAlignment="1" applyProtection="1">
      <alignment horizontal="center" vertical="center" wrapText="1"/>
    </xf>
    <xf numFmtId="173" fontId="28" fillId="0" borderId="71" xfId="0" applyNumberFormat="1" applyFont="1" applyBorder="1" applyAlignment="1" applyProtection="1">
      <alignment horizontal="center" vertical="center"/>
    </xf>
    <xf numFmtId="173" fontId="28" fillId="0" borderId="89" xfId="0" applyNumberFormat="1" applyFont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173" fontId="0" fillId="0" borderId="0" xfId="0" applyNumberFormat="1" applyBorder="1" applyAlignment="1" applyProtection="1">
      <alignment vertical="center"/>
    </xf>
    <xf numFmtId="0" fontId="0" fillId="0" borderId="53" xfId="0" applyBorder="1" applyAlignment="1" applyProtection="1">
      <alignment vertical="center"/>
    </xf>
    <xf numFmtId="184" fontId="0" fillId="0" borderId="0" xfId="0" applyNumberForma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4" fontId="0" fillId="0" borderId="0" xfId="0" applyNumberFormat="1" applyBorder="1" applyAlignment="1" applyProtection="1">
      <alignment vertical="center"/>
    </xf>
    <xf numFmtId="43" fontId="9" fillId="0" borderId="0" xfId="82" applyFont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vertical="center"/>
    </xf>
    <xf numFmtId="3" fontId="0" fillId="0" borderId="0" xfId="0" applyNumberFormat="1" applyBorder="1" applyAlignment="1" applyProtection="1">
      <alignment vertical="center"/>
    </xf>
    <xf numFmtId="44" fontId="5" fillId="29" borderId="19" xfId="85" applyFont="1" applyFill="1" applyBorder="1" applyAlignment="1" applyProtection="1">
      <alignment vertical="center"/>
    </xf>
    <xf numFmtId="0" fontId="2" fillId="31" borderId="12" xfId="0" applyFont="1" applyFill="1" applyBorder="1" applyAlignment="1" applyProtection="1">
      <alignment vertical="center" wrapText="1"/>
    </xf>
    <xf numFmtId="181" fontId="5" fillId="0" borderId="0" xfId="82" applyNumberFormat="1" applyFont="1" applyAlignment="1" applyProtection="1">
      <alignment vertical="center"/>
    </xf>
    <xf numFmtId="173" fontId="28" fillId="0" borderId="0" xfId="0" applyNumberFormat="1" applyFont="1" applyBorder="1" applyAlignment="1" applyProtection="1">
      <alignment horizontal="center" vertical="center" wrapText="1"/>
    </xf>
    <xf numFmtId="171" fontId="28" fillId="0" borderId="0" xfId="0" applyNumberFormat="1" applyFont="1" applyBorder="1" applyAlignment="1" applyProtection="1">
      <alignment horizontal="center" vertical="center"/>
    </xf>
    <xf numFmtId="173" fontId="28" fillId="0" borderId="0" xfId="0" applyNumberFormat="1" applyFont="1" applyBorder="1" applyAlignment="1" applyProtection="1">
      <alignment horizontal="center" vertical="center"/>
    </xf>
    <xf numFmtId="44" fontId="1" fillId="0" borderId="0" xfId="0" applyNumberFormat="1" applyFont="1" applyAlignment="1" applyProtection="1">
      <alignment vertical="center"/>
    </xf>
    <xf numFmtId="164" fontId="5" fillId="0" borderId="91" xfId="126" applyNumberFormat="1" applyFont="1" applyBorder="1" applyAlignment="1" applyProtection="1">
      <alignment vertical="center"/>
    </xf>
    <xf numFmtId="167" fontId="0" fillId="37" borderId="89" xfId="0" applyNumberFormat="1" applyFill="1" applyBorder="1" applyAlignment="1" applyProtection="1">
      <alignment horizontal="center" vertical="center"/>
    </xf>
    <xf numFmtId="0" fontId="4" fillId="0" borderId="0" xfId="0" applyFont="1" applyBorder="1" applyAlignment="1">
      <alignment vertical="top" wrapText="1"/>
    </xf>
    <xf numFmtId="4" fontId="0" fillId="0" borderId="0" xfId="0" applyNumberFormat="1"/>
    <xf numFmtId="4" fontId="8" fillId="39" borderId="84" xfId="0" applyNumberFormat="1" applyFont="1" applyFill="1" applyBorder="1" applyAlignment="1" applyProtection="1">
      <alignment horizontal="center" vertical="center"/>
    </xf>
    <xf numFmtId="2" fontId="28" fillId="0" borderId="53" xfId="0" applyNumberFormat="1" applyFont="1" applyBorder="1" applyAlignment="1" applyProtection="1">
      <alignment horizontal="center" vertical="center"/>
    </xf>
    <xf numFmtId="2" fontId="28" fillId="0" borderId="84" xfId="0" applyNumberFormat="1" applyFont="1" applyBorder="1" applyAlignment="1" applyProtection="1">
      <alignment horizontal="center" vertical="center"/>
    </xf>
    <xf numFmtId="4" fontId="8" fillId="39" borderId="109" xfId="0" applyNumberFormat="1" applyFont="1" applyFill="1" applyBorder="1" applyAlignment="1" applyProtection="1">
      <alignment horizontal="center" vertical="center"/>
    </xf>
    <xf numFmtId="4" fontId="8" fillId="39" borderId="27" xfId="0" applyNumberFormat="1" applyFont="1" applyFill="1" applyBorder="1" applyAlignment="1" applyProtection="1">
      <alignment horizontal="center" vertical="center"/>
    </xf>
    <xf numFmtId="3" fontId="61" fillId="0" borderId="0" xfId="0" applyNumberFormat="1" applyFont="1" applyBorder="1" applyAlignment="1" applyProtection="1">
      <alignment horizontal="center" vertical="center"/>
    </xf>
    <xf numFmtId="3" fontId="61" fillId="0" borderId="84" xfId="0" applyNumberFormat="1" applyFont="1" applyBorder="1" applyAlignment="1" applyProtection="1">
      <alignment horizontal="center" vertical="center"/>
    </xf>
    <xf numFmtId="44" fontId="61" fillId="0" borderId="31" xfId="0" applyNumberFormat="1" applyFont="1" applyFill="1" applyBorder="1" applyAlignment="1" applyProtection="1">
      <alignment horizontal="center" vertical="center"/>
    </xf>
    <xf numFmtId="44" fontId="61" fillId="0" borderId="84" xfId="0" applyNumberFormat="1" applyFont="1" applyFill="1" applyBorder="1" applyAlignment="1" applyProtection="1">
      <alignment horizontal="center" vertical="center"/>
    </xf>
    <xf numFmtId="44" fontId="61" fillId="0" borderId="32" xfId="0" applyNumberFormat="1" applyFont="1" applyFill="1" applyBorder="1" applyAlignment="1" applyProtection="1">
      <alignment horizontal="center" vertical="center"/>
    </xf>
    <xf numFmtId="3" fontId="61" fillId="0" borderId="84" xfId="0" applyNumberFormat="1" applyFont="1" applyFill="1" applyBorder="1" applyAlignment="1" applyProtection="1">
      <alignment horizontal="center" vertical="center"/>
    </xf>
    <xf numFmtId="3" fontId="61" fillId="0" borderId="89" xfId="0" applyNumberFormat="1" applyFont="1" applyFill="1" applyBorder="1" applyAlignment="1" applyProtection="1">
      <alignment horizontal="center" vertical="center"/>
    </xf>
    <xf numFmtId="167" fontId="61" fillId="37" borderId="84" xfId="0" applyNumberFormat="1" applyFont="1" applyFill="1" applyBorder="1" applyAlignment="1" applyProtection="1">
      <alignment horizontal="center" vertical="center"/>
    </xf>
    <xf numFmtId="166" fontId="0" fillId="0" borderId="0" xfId="82" applyNumberFormat="1" applyFont="1" applyBorder="1" applyAlignment="1" applyProtection="1">
      <alignment vertical="center"/>
    </xf>
    <xf numFmtId="43" fontId="1" fillId="0" borderId="0" xfId="82" applyFont="1" applyAlignment="1" applyProtection="1">
      <alignment vertical="center"/>
    </xf>
    <xf numFmtId="44" fontId="1" fillId="0" borderId="0" xfId="85" applyNumberFormat="1" applyFont="1" applyFill="1" applyBorder="1" applyAlignment="1" applyProtection="1">
      <alignment horizontal="center" vertical="center"/>
    </xf>
    <xf numFmtId="166" fontId="2" fillId="0" borderId="0" xfId="82" applyNumberFormat="1" applyFont="1" applyAlignment="1" applyProtection="1">
      <alignment vertical="center"/>
    </xf>
    <xf numFmtId="166" fontId="8" fillId="0" borderId="0" xfId="82" applyNumberFormat="1" applyFont="1" applyAlignment="1">
      <alignment wrapText="1"/>
    </xf>
    <xf numFmtId="0" fontId="53" fillId="0" borderId="0" xfId="0" applyFont="1" applyFill="1"/>
    <xf numFmtId="0" fontId="0" fillId="0" borderId="0" xfId="0" applyAlignment="1">
      <alignment horizontal="center"/>
    </xf>
    <xf numFmtId="43" fontId="0" fillId="0" borderId="0" xfId="82" applyFont="1"/>
    <xf numFmtId="166" fontId="26" fillId="0" borderId="0" xfId="82" applyNumberFormat="1" applyFont="1" applyBorder="1" applyAlignment="1" applyProtection="1">
      <alignment vertical="center"/>
    </xf>
    <xf numFmtId="166" fontId="0" fillId="0" borderId="0" xfId="82" applyNumberFormat="1" applyFont="1" applyBorder="1" applyAlignment="1" applyProtection="1">
      <alignment vertical="center" wrapText="1"/>
    </xf>
    <xf numFmtId="166" fontId="28" fillId="0" borderId="0" xfId="82" applyNumberFormat="1" applyFont="1" applyBorder="1" applyAlignment="1" applyProtection="1">
      <alignment vertical="center"/>
    </xf>
    <xf numFmtId="172" fontId="61" fillId="0" borderId="84" xfId="85" applyNumberFormat="1" applyFont="1" applyFill="1" applyBorder="1" applyAlignment="1" applyProtection="1">
      <alignment vertical="center"/>
    </xf>
    <xf numFmtId="44" fontId="5" fillId="0" borderId="0" xfId="0" applyNumberFormat="1" applyFont="1" applyAlignment="1" applyProtection="1">
      <alignment vertical="center"/>
    </xf>
    <xf numFmtId="172" fontId="5" fillId="0" borderId="0" xfId="0" applyNumberFormat="1" applyFont="1" applyAlignment="1" applyProtection="1">
      <alignment vertical="center"/>
    </xf>
    <xf numFmtId="169" fontId="12" fillId="27" borderId="51" xfId="0" applyNumberFormat="1" applyFont="1" applyFill="1" applyBorder="1" applyAlignment="1" applyProtection="1">
      <alignment horizontal="center" vertical="center" wrapText="1"/>
    </xf>
    <xf numFmtId="0" fontId="62" fillId="0" borderId="84" xfId="0" applyFont="1" applyBorder="1" applyAlignment="1" applyProtection="1">
      <alignment horizontal="center" vertical="center"/>
    </xf>
    <xf numFmtId="0" fontId="62" fillId="0" borderId="89" xfId="0" applyFont="1" applyBorder="1" applyAlignment="1" applyProtection="1">
      <alignment horizontal="center" vertical="center"/>
    </xf>
    <xf numFmtId="3" fontId="2" fillId="0" borderId="98" xfId="0" applyNumberFormat="1" applyFont="1" applyBorder="1" applyAlignment="1" applyProtection="1">
      <alignment horizontal="center" vertical="center"/>
    </xf>
    <xf numFmtId="3" fontId="2" fillId="0" borderId="89" xfId="0" applyNumberFormat="1" applyFont="1" applyBorder="1" applyAlignment="1" applyProtection="1">
      <alignment horizontal="center" vertical="center"/>
    </xf>
    <xf numFmtId="9" fontId="63" fillId="0" borderId="0" xfId="0" applyNumberFormat="1" applyFont="1" applyFill="1" applyBorder="1" applyAlignment="1" applyProtection="1">
      <alignment horizontal="center" vertical="center"/>
    </xf>
    <xf numFmtId="0" fontId="54" fillId="0" borderId="0" xfId="0" applyFont="1" applyAlignment="1">
      <alignment horizontal="left" vertical="center"/>
    </xf>
    <xf numFmtId="9" fontId="64" fillId="0" borderId="0" xfId="126" applyFont="1" applyAlignment="1" applyProtection="1">
      <alignment horizontal="center"/>
    </xf>
    <xf numFmtId="0" fontId="55" fillId="0" borderId="0" xfId="0" applyFont="1" applyAlignment="1">
      <alignment horizontal="left"/>
    </xf>
    <xf numFmtId="0" fontId="55" fillId="0" borderId="0" xfId="0" applyFont="1" applyAlignment="1">
      <alignment horizontal="left" vertical="center"/>
    </xf>
    <xf numFmtId="9" fontId="5" fillId="26" borderId="16" xfId="126" applyFont="1" applyFill="1" applyBorder="1" applyAlignment="1" applyProtection="1">
      <alignment vertical="center"/>
    </xf>
    <xf numFmtId="9" fontId="2" fillId="26" borderId="16" xfId="126" applyFont="1" applyFill="1" applyBorder="1" applyAlignment="1" applyProtection="1">
      <alignment vertical="center"/>
    </xf>
    <xf numFmtId="3" fontId="2" fillId="26" borderId="16" xfId="126" applyNumberFormat="1" applyFont="1" applyFill="1" applyBorder="1" applyAlignment="1" applyProtection="1">
      <alignment vertical="center"/>
    </xf>
    <xf numFmtId="3" fontId="6" fillId="26" borderId="11" xfId="0" applyNumberFormat="1" applyFont="1" applyFill="1" applyBorder="1" applyAlignment="1" applyProtection="1">
      <alignment vertical="center"/>
    </xf>
    <xf numFmtId="3" fontId="2" fillId="26" borderId="69" xfId="0" applyNumberFormat="1" applyFont="1" applyFill="1" applyBorder="1" applyAlignment="1" applyProtection="1">
      <alignment vertical="center"/>
    </xf>
    <xf numFmtId="9" fontId="6" fillId="26" borderId="11" xfId="126" applyFont="1" applyFill="1" applyBorder="1" applyAlignment="1" applyProtection="1">
      <alignment vertical="center"/>
    </xf>
    <xf numFmtId="9" fontId="2" fillId="26" borderId="69" xfId="126" applyFont="1" applyFill="1" applyBorder="1" applyAlignment="1" applyProtection="1">
      <alignment vertical="center"/>
    </xf>
    <xf numFmtId="167" fontId="0" fillId="27" borderId="18" xfId="126" applyNumberFormat="1" applyFont="1" applyFill="1" applyBorder="1" applyAlignment="1" applyProtection="1">
      <alignment vertical="center"/>
    </xf>
    <xf numFmtId="166" fontId="0" fillId="27" borderId="16" xfId="82" applyNumberFormat="1" applyFont="1" applyFill="1" applyBorder="1" applyAlignment="1" applyProtection="1">
      <alignment vertical="center"/>
    </xf>
    <xf numFmtId="166" fontId="2" fillId="27" borderId="16" xfId="82" applyNumberFormat="1" applyFont="1" applyFill="1" applyBorder="1" applyAlignment="1" applyProtection="1">
      <alignment vertical="center"/>
    </xf>
    <xf numFmtId="167" fontId="2" fillId="27" borderId="18" xfId="126" applyNumberFormat="1" applyFont="1" applyFill="1" applyBorder="1" applyAlignment="1" applyProtection="1">
      <alignment vertical="center"/>
    </xf>
    <xf numFmtId="172" fontId="2" fillId="27" borderId="109" xfId="85" applyNumberFormat="1" applyFont="1" applyFill="1" applyBorder="1" applyAlignment="1" applyProtection="1">
      <alignment vertical="center"/>
    </xf>
    <xf numFmtId="172" fontId="2" fillId="27" borderId="84" xfId="85" applyNumberFormat="1" applyFont="1" applyFill="1" applyBorder="1" applyAlignment="1" applyProtection="1">
      <alignment vertical="center"/>
    </xf>
    <xf numFmtId="172" fontId="2" fillId="27" borderId="107" xfId="85" applyNumberFormat="1" applyFont="1" applyFill="1" applyBorder="1" applyAlignment="1" applyProtection="1">
      <alignment vertical="center"/>
    </xf>
    <xf numFmtId="172" fontId="2" fillId="26" borderId="18" xfId="85" applyNumberFormat="1" applyFont="1" applyFill="1" applyBorder="1" applyAlignment="1" applyProtection="1">
      <alignment vertical="center"/>
    </xf>
    <xf numFmtId="0" fontId="4" fillId="27" borderId="0" xfId="0" applyFont="1" applyFill="1" applyBorder="1" applyAlignment="1" applyProtection="1">
      <alignment horizontal="center" vertical="center"/>
    </xf>
    <xf numFmtId="169" fontId="2" fillId="27" borderId="79" xfId="0" applyNumberFormat="1" applyFont="1" applyFill="1" applyBorder="1" applyAlignment="1" applyProtection="1">
      <alignment horizontal="center" vertical="center" wrapText="1"/>
    </xf>
    <xf numFmtId="166" fontId="5" fillId="27" borderId="58" xfId="82" applyNumberFormat="1" applyFont="1" applyFill="1" applyBorder="1" applyAlignment="1" applyProtection="1">
      <alignment vertical="center"/>
    </xf>
    <xf numFmtId="167" fontId="4" fillId="36" borderId="0" xfId="0" applyNumberFormat="1" applyFont="1" applyFill="1" applyBorder="1" applyAlignment="1" applyProtection="1">
      <alignment vertical="center"/>
    </xf>
    <xf numFmtId="10" fontId="2" fillId="36" borderId="96" xfId="126" applyNumberFormat="1" applyFont="1" applyFill="1" applyBorder="1" applyAlignment="1" applyProtection="1">
      <alignment vertical="center"/>
    </xf>
    <xf numFmtId="167" fontId="2" fillId="36" borderId="0" xfId="126" applyNumberFormat="1" applyFont="1" applyFill="1" applyBorder="1" applyAlignment="1" applyProtection="1">
      <alignment vertical="center"/>
    </xf>
    <xf numFmtId="167" fontId="2" fillId="36" borderId="41" xfId="126" applyNumberFormat="1" applyFont="1" applyFill="1" applyBorder="1" applyAlignment="1" applyProtection="1">
      <alignment vertical="center"/>
    </xf>
    <xf numFmtId="166" fontId="0" fillId="36" borderId="16" xfId="82" applyNumberFormat="1" applyFont="1" applyFill="1" applyBorder="1" applyAlignment="1" applyProtection="1">
      <alignment vertical="center"/>
    </xf>
    <xf numFmtId="9" fontId="0" fillId="36" borderId="91" xfId="126" applyFont="1" applyFill="1" applyBorder="1" applyAlignment="1" applyProtection="1">
      <alignment horizontal="center" vertical="center"/>
    </xf>
    <xf numFmtId="166" fontId="0" fillId="36" borderId="18" xfId="82" applyNumberFormat="1" applyFont="1" applyFill="1" applyBorder="1" applyAlignment="1" applyProtection="1">
      <alignment vertical="center"/>
    </xf>
    <xf numFmtId="9" fontId="0" fillId="0" borderId="0" xfId="126" applyFont="1" applyAlignment="1" applyProtection="1">
      <alignment vertical="center"/>
    </xf>
    <xf numFmtId="172" fontId="0" fillId="0" borderId="0" xfId="0" applyNumberFormat="1" applyFill="1" applyBorder="1" applyAlignment="1" applyProtection="1">
      <alignment vertical="center"/>
    </xf>
    <xf numFmtId="0" fontId="2" fillId="25" borderId="32" xfId="0" applyFont="1" applyFill="1" applyBorder="1" applyAlignment="1" applyProtection="1">
      <alignment horizontal="left" vertical="center"/>
    </xf>
    <xf numFmtId="0" fontId="2" fillId="25" borderId="35" xfId="0" applyFont="1" applyFill="1" applyBorder="1" applyAlignment="1" applyProtection="1">
      <alignment vertical="center"/>
    </xf>
    <xf numFmtId="3" fontId="2" fillId="26" borderId="60" xfId="126" applyNumberFormat="1" applyFont="1" applyFill="1" applyBorder="1" applyAlignment="1" applyProtection="1">
      <alignment vertical="center"/>
    </xf>
    <xf numFmtId="9" fontId="2" fillId="26" borderId="125" xfId="126" applyFont="1" applyFill="1" applyBorder="1" applyAlignment="1" applyProtection="1">
      <alignment vertical="center"/>
    </xf>
    <xf numFmtId="172" fontId="5" fillId="26" borderId="110" xfId="85" applyNumberFormat="1" applyFont="1" applyFill="1" applyBorder="1" applyAlignment="1" applyProtection="1">
      <alignment vertical="center"/>
    </xf>
    <xf numFmtId="172" fontId="2" fillId="29" borderId="53" xfId="85" applyNumberFormat="1" applyFont="1" applyFill="1" applyBorder="1" applyAlignment="1" applyProtection="1">
      <alignment vertical="center"/>
    </xf>
    <xf numFmtId="172" fontId="2" fillId="29" borderId="74" xfId="85" applyNumberFormat="1" applyFont="1" applyFill="1" applyBorder="1" applyAlignment="1" applyProtection="1">
      <alignment vertical="center"/>
    </xf>
    <xf numFmtId="166" fontId="2" fillId="24" borderId="51" xfId="82" applyNumberFormat="1" applyFont="1" applyFill="1" applyBorder="1" applyAlignment="1" applyProtection="1">
      <alignment vertical="center"/>
    </xf>
    <xf numFmtId="179" fontId="2" fillId="24" borderId="32" xfId="0" applyNumberFormat="1" applyFont="1" applyFill="1" applyBorder="1" applyAlignment="1" applyProtection="1">
      <alignment horizontal="center" vertical="center"/>
    </xf>
    <xf numFmtId="176" fontId="2" fillId="25" borderId="0" xfId="82" applyNumberFormat="1" applyFont="1" applyFill="1" applyBorder="1" applyAlignment="1" applyProtection="1">
      <alignment horizontal="center" vertical="center"/>
    </xf>
    <xf numFmtId="178" fontId="2" fillId="24" borderId="53" xfId="0" applyNumberFormat="1" applyFont="1" applyFill="1" applyBorder="1" applyAlignment="1" applyProtection="1">
      <alignment horizontal="center" vertical="center"/>
    </xf>
    <xf numFmtId="176" fontId="2" fillId="25" borderId="35" xfId="82" applyNumberFormat="1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vertical="center"/>
    </xf>
    <xf numFmtId="174" fontId="24" fillId="26" borderId="53" xfId="126" applyNumberFormat="1" applyFont="1" applyFill="1" applyBorder="1" applyAlignment="1" applyProtection="1">
      <alignment vertical="center"/>
    </xf>
    <xf numFmtId="9" fontId="0" fillId="26" borderId="74" xfId="126" applyFont="1" applyFill="1" applyBorder="1" applyAlignment="1" applyProtection="1">
      <alignment vertical="center"/>
    </xf>
    <xf numFmtId="9" fontId="0" fillId="26" borderId="35" xfId="126" applyFont="1" applyFill="1" applyBorder="1" applyAlignment="1" applyProtection="1">
      <alignment vertical="center"/>
    </xf>
    <xf numFmtId="9" fontId="0" fillId="26" borderId="51" xfId="126" applyFont="1" applyFill="1" applyBorder="1" applyAlignment="1" applyProtection="1">
      <alignment vertical="center"/>
    </xf>
    <xf numFmtId="174" fontId="0" fillId="36" borderId="32" xfId="126" applyNumberFormat="1" applyFont="1" applyFill="1" applyBorder="1" applyAlignment="1" applyProtection="1">
      <alignment vertical="center"/>
    </xf>
    <xf numFmtId="174" fontId="0" fillId="36" borderId="0" xfId="126" applyNumberFormat="1" applyFont="1" applyFill="1" applyBorder="1" applyAlignment="1" applyProtection="1">
      <alignment vertical="center"/>
    </xf>
    <xf numFmtId="43" fontId="0" fillId="36" borderId="35" xfId="0" applyNumberFormat="1" applyFill="1" applyBorder="1" applyAlignment="1" applyProtection="1">
      <alignment vertical="center"/>
    </xf>
    <xf numFmtId="43" fontId="0" fillId="36" borderId="51" xfId="0" applyNumberFormat="1" applyFill="1" applyBorder="1" applyAlignment="1" applyProtection="1">
      <alignment vertical="center"/>
    </xf>
    <xf numFmtId="174" fontId="0" fillId="27" borderId="32" xfId="126" applyNumberFormat="1" applyFont="1" applyFill="1" applyBorder="1" applyAlignment="1" applyProtection="1">
      <alignment vertical="center"/>
    </xf>
    <xf numFmtId="174" fontId="0" fillId="27" borderId="0" xfId="0" applyNumberFormat="1" applyFill="1" applyBorder="1" applyAlignment="1" applyProtection="1">
      <alignment vertical="center"/>
    </xf>
    <xf numFmtId="174" fontId="0" fillId="27" borderId="84" xfId="0" applyNumberFormat="1" applyFill="1" applyBorder="1" applyAlignment="1" applyProtection="1">
      <alignment vertical="center"/>
    </xf>
    <xf numFmtId="43" fontId="0" fillId="27" borderId="51" xfId="0" applyNumberFormat="1" applyFill="1" applyBorder="1" applyAlignment="1" applyProtection="1">
      <alignment vertical="center"/>
    </xf>
    <xf numFmtId="43" fontId="0" fillId="27" borderId="53" xfId="0" applyNumberFormat="1" applyFill="1" applyBorder="1" applyAlignment="1" applyProtection="1">
      <alignment vertical="center"/>
    </xf>
    <xf numFmtId="172" fontId="12" fillId="0" borderId="51" xfId="85" applyNumberFormat="1" applyFont="1" applyFill="1" applyBorder="1" applyAlignment="1" applyProtection="1">
      <alignment vertical="center"/>
    </xf>
    <xf numFmtId="172" fontId="2" fillId="31" borderId="33" xfId="85" applyNumberFormat="1" applyFont="1" applyFill="1" applyBorder="1" applyAlignment="1" applyProtection="1">
      <alignment vertical="center"/>
    </xf>
    <xf numFmtId="166" fontId="7" fillId="37" borderId="51" xfId="82" applyNumberFormat="1" applyFont="1" applyFill="1" applyBorder="1" applyAlignment="1" applyProtection="1">
      <alignment vertical="center"/>
    </xf>
    <xf numFmtId="166" fontId="7" fillId="37" borderId="32" xfId="82" applyNumberFormat="1" applyFont="1" applyFill="1" applyBorder="1" applyAlignment="1" applyProtection="1">
      <alignment vertical="center"/>
    </xf>
    <xf numFmtId="166" fontId="7" fillId="37" borderId="0" xfId="82" applyNumberFormat="1" applyFont="1" applyFill="1" applyBorder="1" applyAlignment="1" applyProtection="1">
      <alignment vertical="center"/>
    </xf>
    <xf numFmtId="43" fontId="0" fillId="37" borderId="53" xfId="0" applyNumberFormat="1" applyFill="1" applyBorder="1" applyAlignment="1" applyProtection="1">
      <alignment vertical="center"/>
    </xf>
    <xf numFmtId="43" fontId="0" fillId="0" borderId="35" xfId="82" applyFont="1" applyFill="1" applyBorder="1" applyAlignment="1" applyProtection="1">
      <alignment vertical="center"/>
    </xf>
    <xf numFmtId="166" fontId="24" fillId="26" borderId="60" xfId="82" applyNumberFormat="1" applyFont="1" applyFill="1" applyBorder="1" applyAlignment="1" applyProtection="1">
      <alignment vertical="center"/>
    </xf>
    <xf numFmtId="185" fontId="0" fillId="36" borderId="18" xfId="82" applyNumberFormat="1" applyFont="1" applyFill="1" applyBorder="1" applyAlignment="1" applyProtection="1">
      <alignment vertical="center"/>
    </xf>
    <xf numFmtId="43" fontId="5" fillId="0" borderId="0" xfId="82" applyNumberFormat="1" applyFont="1" applyAlignment="1" applyProtection="1">
      <alignment vertical="center"/>
    </xf>
    <xf numFmtId="166" fontId="5" fillId="0" borderId="0" xfId="82" applyNumberFormat="1" applyFont="1" applyFill="1" applyAlignment="1" applyProtection="1">
      <alignment vertical="center"/>
    </xf>
    <xf numFmtId="185" fontId="5" fillId="0" borderId="0" xfId="0" applyNumberFormat="1" applyFont="1" applyFill="1" applyAlignment="1" applyProtection="1">
      <alignment vertical="center"/>
    </xf>
    <xf numFmtId="166" fontId="2" fillId="27" borderId="58" xfId="82" applyNumberFormat="1" applyFont="1" applyFill="1" applyBorder="1" applyAlignment="1" applyProtection="1">
      <alignment vertical="center"/>
    </xf>
    <xf numFmtId="0" fontId="56" fillId="0" borderId="0" xfId="0" applyFont="1" applyBorder="1" applyAlignment="1" applyProtection="1">
      <alignment horizontal="left" vertical="center"/>
    </xf>
    <xf numFmtId="9" fontId="5" fillId="0" borderId="0" xfId="126" applyFont="1" applyFill="1" applyBorder="1" applyAlignment="1" applyProtection="1">
      <alignment vertical="center"/>
    </xf>
    <xf numFmtId="0" fontId="2" fillId="0" borderId="71" xfId="0" applyFont="1" applyFill="1" applyBorder="1" applyAlignment="1" applyProtection="1">
      <alignment horizontal="right" vertical="center"/>
    </xf>
    <xf numFmtId="172" fontId="5" fillId="0" borderId="89" xfId="85" applyNumberFormat="1" applyFont="1" applyFill="1" applyBorder="1" applyAlignment="1" applyProtection="1">
      <alignment vertical="center"/>
    </xf>
    <xf numFmtId="166" fontId="65" fillId="41" borderId="0" xfId="82" applyNumberFormat="1" applyFont="1" applyFill="1" applyAlignment="1" applyProtection="1">
      <alignment vertical="center"/>
    </xf>
    <xf numFmtId="172" fontId="65" fillId="41" borderId="0" xfId="85" applyNumberFormat="1" applyFont="1" applyFill="1" applyAlignment="1" applyProtection="1">
      <alignment vertical="center"/>
    </xf>
    <xf numFmtId="0" fontId="65" fillId="41" borderId="0" xfId="0" applyFont="1" applyFill="1" applyAlignment="1" applyProtection="1">
      <alignment vertical="center"/>
    </xf>
    <xf numFmtId="172" fontId="65" fillId="41" borderId="84" xfId="85" applyNumberFormat="1" applyFont="1" applyFill="1" applyBorder="1" applyAlignment="1" applyProtection="1">
      <alignment vertical="center"/>
    </xf>
    <xf numFmtId="172" fontId="65" fillId="41" borderId="0" xfId="0" applyNumberFormat="1" applyFont="1" applyFill="1" applyAlignment="1" applyProtection="1">
      <alignment vertical="center"/>
    </xf>
    <xf numFmtId="172" fontId="65" fillId="41" borderId="0" xfId="85" applyNumberFormat="1" applyFont="1" applyFill="1" applyBorder="1" applyAlignment="1" applyProtection="1">
      <alignment vertical="center"/>
    </xf>
    <xf numFmtId="3" fontId="66" fillId="41" borderId="0" xfId="0" applyNumberFormat="1" applyFont="1" applyFill="1" applyAlignment="1" applyProtection="1">
      <alignment horizontal="center" vertical="center"/>
    </xf>
    <xf numFmtId="166" fontId="65" fillId="41" borderId="0" xfId="82" applyNumberFormat="1" applyFont="1" applyFill="1" applyAlignment="1" applyProtection="1">
      <alignment horizontal="center" vertical="center"/>
    </xf>
    <xf numFmtId="166" fontId="65" fillId="41" borderId="0" xfId="82" applyNumberFormat="1" applyFont="1" applyFill="1" applyAlignment="1">
      <alignment horizontal="center"/>
    </xf>
    <xf numFmtId="0" fontId="67" fillId="41" borderId="0" xfId="0" applyFont="1" applyFill="1" applyBorder="1" applyAlignment="1">
      <alignment horizontal="left" wrapText="1"/>
    </xf>
    <xf numFmtId="0" fontId="67" fillId="41" borderId="0" xfId="0" applyFont="1" applyFill="1" applyBorder="1" applyAlignment="1">
      <alignment wrapText="1"/>
    </xf>
    <xf numFmtId="0" fontId="67" fillId="41" borderId="0" xfId="0" applyFont="1" applyFill="1" applyBorder="1" applyAlignment="1">
      <alignment horizontal="center" vertical="center" wrapText="1"/>
    </xf>
    <xf numFmtId="0" fontId="65" fillId="41" borderId="0" xfId="0" applyFont="1" applyFill="1" applyBorder="1" applyAlignment="1">
      <alignment horizontal="left"/>
    </xf>
    <xf numFmtId="0" fontId="65" fillId="41" borderId="0" xfId="0" applyFont="1" applyFill="1" applyBorder="1"/>
    <xf numFmtId="172" fontId="68" fillId="41" borderId="0" xfId="85" applyNumberFormat="1" applyFont="1" applyFill="1" applyBorder="1"/>
    <xf numFmtId="0" fontId="67" fillId="41" borderId="0" xfId="0" applyFont="1" applyFill="1" applyBorder="1" applyAlignment="1">
      <alignment horizontal="left"/>
    </xf>
    <xf numFmtId="0" fontId="67" fillId="41" borderId="0" xfId="0" applyFont="1" applyFill="1" applyBorder="1"/>
    <xf numFmtId="172" fontId="69" fillId="41" borderId="0" xfId="0" applyNumberFormat="1" applyFont="1" applyFill="1" applyBorder="1"/>
    <xf numFmtId="166" fontId="65" fillId="41" borderId="0" xfId="82" applyNumberFormat="1" applyFont="1" applyFill="1" applyBorder="1" applyAlignment="1" applyProtection="1">
      <alignment horizontal="center" vertical="center"/>
    </xf>
    <xf numFmtId="0" fontId="65" fillId="41" borderId="0" xfId="0" applyFont="1" applyFill="1" applyBorder="1" applyAlignment="1" applyProtection="1">
      <alignment vertical="center"/>
    </xf>
    <xf numFmtId="9" fontId="65" fillId="41" borderId="0" xfId="126" applyFont="1" applyFill="1" applyAlignment="1" applyProtection="1">
      <alignment vertical="center"/>
    </xf>
    <xf numFmtId="44" fontId="65" fillId="41" borderId="0" xfId="85" applyFont="1" applyFill="1" applyAlignment="1" applyProtection="1">
      <alignment vertical="center"/>
    </xf>
    <xf numFmtId="173" fontId="65" fillId="41" borderId="0" xfId="0" applyNumberFormat="1" applyFont="1" applyFill="1" applyAlignment="1" applyProtection="1">
      <alignment vertical="center"/>
    </xf>
    <xf numFmtId="172" fontId="66" fillId="41" borderId="0" xfId="85" applyNumberFormat="1" applyFont="1" applyFill="1" applyAlignment="1" applyProtection="1">
      <alignment vertical="center"/>
    </xf>
    <xf numFmtId="0" fontId="66" fillId="41" borderId="0" xfId="85" applyNumberFormat="1" applyFont="1" applyFill="1" applyBorder="1" applyAlignment="1" applyProtection="1">
      <alignment horizontal="center" vertical="center"/>
    </xf>
    <xf numFmtId="166" fontId="66" fillId="41" borderId="0" xfId="82" applyNumberFormat="1" applyFont="1" applyFill="1" applyBorder="1" applyAlignment="1" applyProtection="1">
      <alignment vertical="center"/>
    </xf>
    <xf numFmtId="172" fontId="66" fillId="41" borderId="0" xfId="85" applyNumberFormat="1" applyFont="1" applyFill="1" applyBorder="1" applyAlignment="1" applyProtection="1">
      <alignment vertical="center"/>
    </xf>
    <xf numFmtId="0" fontId="66" fillId="41" borderId="0" xfId="0" applyFont="1" applyFill="1" applyAlignment="1" applyProtection="1">
      <alignment vertical="center"/>
    </xf>
    <xf numFmtId="174" fontId="65" fillId="41" borderId="0" xfId="0" applyNumberFormat="1" applyFont="1" applyFill="1" applyAlignment="1" applyProtection="1">
      <alignment vertical="center"/>
    </xf>
    <xf numFmtId="174" fontId="65" fillId="41" borderId="0" xfId="0" applyNumberFormat="1" applyFont="1" applyFill="1" applyBorder="1" applyAlignment="1" applyProtection="1">
      <alignment vertical="center"/>
    </xf>
    <xf numFmtId="174" fontId="66" fillId="41" borderId="0" xfId="0" applyNumberFormat="1" applyFont="1" applyFill="1" applyAlignment="1" applyProtection="1">
      <alignment vertical="center"/>
    </xf>
    <xf numFmtId="172" fontId="65" fillId="41" borderId="0" xfId="0" applyNumberFormat="1" applyFont="1" applyFill="1" applyAlignment="1" applyProtection="1">
      <alignment horizontal="right" vertical="center"/>
    </xf>
    <xf numFmtId="172" fontId="65" fillId="41" borderId="0" xfId="0" applyNumberFormat="1" applyFont="1" applyFill="1" applyAlignment="1" applyProtection="1">
      <alignment horizontal="center"/>
    </xf>
    <xf numFmtId="166" fontId="65" fillId="41" borderId="0" xfId="0" applyNumberFormat="1" applyFont="1" applyFill="1" applyBorder="1" applyAlignment="1" applyProtection="1">
      <alignment vertical="center"/>
    </xf>
    <xf numFmtId="9" fontId="65" fillId="41" borderId="0" xfId="126" applyFont="1" applyFill="1" applyAlignment="1" applyProtection="1">
      <alignment horizontal="center" vertical="center"/>
    </xf>
    <xf numFmtId="0" fontId="65" fillId="41" borderId="0" xfId="0" applyNumberFormat="1" applyFont="1" applyFill="1" applyAlignment="1" applyProtection="1">
      <alignment vertical="center"/>
    </xf>
    <xf numFmtId="172" fontId="65" fillId="41" borderId="0" xfId="0" applyNumberFormat="1" applyFont="1" applyFill="1" applyAlignment="1" applyProtection="1">
      <alignment horizontal="center" vertical="top"/>
    </xf>
    <xf numFmtId="172" fontId="65" fillId="41" borderId="0" xfId="0" applyNumberFormat="1" applyFont="1" applyFill="1" applyBorder="1" applyAlignment="1" applyProtection="1">
      <alignment vertical="center"/>
    </xf>
    <xf numFmtId="174" fontId="65" fillId="41" borderId="0" xfId="85" applyNumberFormat="1" applyFont="1" applyFill="1" applyAlignment="1" applyProtection="1">
      <alignment horizontal="left" vertical="center"/>
    </xf>
    <xf numFmtId="10" fontId="65" fillId="41" borderId="0" xfId="126" applyNumberFormat="1" applyFont="1" applyFill="1" applyAlignment="1" applyProtection="1">
      <alignment vertical="center"/>
    </xf>
    <xf numFmtId="166" fontId="65" fillId="41" borderId="0" xfId="82" applyNumberFormat="1" applyFont="1" applyFill="1" applyBorder="1" applyAlignment="1" applyProtection="1">
      <alignment vertical="center"/>
    </xf>
    <xf numFmtId="43" fontId="65" fillId="41" borderId="0" xfId="82" applyFont="1" applyFill="1" applyBorder="1" applyAlignment="1" applyProtection="1">
      <alignment vertical="center"/>
    </xf>
    <xf numFmtId="0" fontId="70" fillId="41" borderId="0" xfId="0" applyFont="1" applyFill="1" applyAlignment="1" applyProtection="1">
      <alignment horizontal="right" vertical="center"/>
    </xf>
    <xf numFmtId="172" fontId="66" fillId="41" borderId="0" xfId="0" applyNumberFormat="1" applyFont="1" applyFill="1" applyAlignment="1" applyProtection="1">
      <alignment vertical="center"/>
    </xf>
    <xf numFmtId="166" fontId="71" fillId="0" borderId="0" xfId="82" applyNumberFormat="1" applyFont="1" applyFill="1" applyBorder="1" applyAlignment="1" applyProtection="1">
      <alignment horizontal="center" vertical="center" wrapText="1"/>
    </xf>
    <xf numFmtId="0" fontId="65" fillId="0" borderId="0" xfId="0" applyFont="1" applyFill="1" applyBorder="1" applyAlignment="1" applyProtection="1">
      <alignment vertical="center" wrapText="1"/>
    </xf>
    <xf numFmtId="0" fontId="69" fillId="0" borderId="0" xfId="0" applyFont="1" applyFill="1" applyBorder="1" applyAlignment="1">
      <alignment horizontal="center" wrapText="1"/>
    </xf>
    <xf numFmtId="166" fontId="71" fillId="0" borderId="0" xfId="82" applyNumberFormat="1" applyFont="1" applyFill="1" applyBorder="1" applyAlignment="1" applyProtection="1">
      <alignment horizontal="center" vertical="center"/>
    </xf>
    <xf numFmtId="43" fontId="65" fillId="0" borderId="0" xfId="82" applyFont="1" applyFill="1" applyBorder="1" applyAlignment="1" applyProtection="1">
      <alignment vertical="center" wrapText="1"/>
    </xf>
    <xf numFmtId="166" fontId="65" fillId="0" borderId="0" xfId="82" applyNumberFormat="1" applyFont="1" applyFill="1" applyBorder="1" applyAlignment="1" applyProtection="1">
      <alignment vertical="center"/>
    </xf>
    <xf numFmtId="0" fontId="65" fillId="0" borderId="0" xfId="0" applyFont="1" applyFill="1" applyBorder="1" applyAlignment="1" applyProtection="1">
      <alignment vertical="center"/>
    </xf>
    <xf numFmtId="172" fontId="65" fillId="0" borderId="0" xfId="85" applyNumberFormat="1" applyFont="1" applyFill="1" applyBorder="1" applyAlignment="1" applyProtection="1">
      <alignment vertical="center"/>
    </xf>
    <xf numFmtId="172" fontId="66" fillId="0" borderId="0" xfId="0" applyNumberFormat="1" applyFont="1" applyFill="1" applyBorder="1" applyAlignment="1" applyProtection="1">
      <alignment vertical="center"/>
    </xf>
    <xf numFmtId="166" fontId="71" fillId="0" borderId="0" xfId="82" applyNumberFormat="1" applyFont="1" applyFill="1" applyBorder="1" applyAlignment="1" applyProtection="1">
      <alignment vertical="center"/>
    </xf>
    <xf numFmtId="0" fontId="71" fillId="0" borderId="0" xfId="0" applyFont="1" applyFill="1" applyBorder="1" applyAlignment="1" applyProtection="1">
      <alignment vertical="center"/>
    </xf>
    <xf numFmtId="166" fontId="28" fillId="0" borderId="0" xfId="82" applyNumberFormat="1" applyFont="1" applyFill="1" applyBorder="1" applyAlignment="1" applyProtection="1">
      <alignment vertical="center"/>
    </xf>
    <xf numFmtId="166" fontId="66" fillId="41" borderId="0" xfId="82" applyNumberFormat="1" applyFont="1" applyFill="1" applyAlignment="1" applyProtection="1">
      <alignment vertical="center"/>
    </xf>
    <xf numFmtId="0" fontId="17" fillId="42" borderId="12" xfId="0" applyFont="1" applyFill="1" applyBorder="1" applyAlignment="1" applyProtection="1">
      <alignment horizontal="center" vertical="center" wrapText="1"/>
    </xf>
    <xf numFmtId="0" fontId="58" fillId="0" borderId="0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59" fillId="0" borderId="0" xfId="0" applyFont="1" applyBorder="1" applyAlignment="1" applyProtection="1">
      <alignment vertical="center"/>
    </xf>
    <xf numFmtId="0" fontId="58" fillId="0" borderId="0" xfId="0" applyFont="1" applyBorder="1" applyAlignment="1" applyProtection="1">
      <alignment vertical="center"/>
    </xf>
    <xf numFmtId="0" fontId="58" fillId="0" borderId="0" xfId="0" applyFont="1"/>
    <xf numFmtId="43" fontId="60" fillId="0" borderId="12" xfId="82" applyFont="1" applyFill="1" applyBorder="1" applyAlignment="1" applyProtection="1">
      <alignment horizontal="left" vertical="center"/>
    </xf>
    <xf numFmtId="9" fontId="72" fillId="0" borderId="12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Border="1" applyAlignment="1" applyProtection="1">
      <alignment horizontal="center" vertical="center"/>
    </xf>
    <xf numFmtId="43" fontId="58" fillId="0" borderId="0" xfId="82" applyFont="1" applyBorder="1" applyAlignment="1" applyProtection="1">
      <alignment horizontal="left" vertical="center"/>
    </xf>
    <xf numFmtId="9" fontId="72" fillId="0" borderId="0" xfId="128" applyFont="1" applyAlignment="1" applyProtection="1">
      <alignment horizontal="center"/>
    </xf>
    <xf numFmtId="0" fontId="54" fillId="0" borderId="0" xfId="0" applyFont="1" applyAlignment="1">
      <alignment horizontal="left"/>
    </xf>
    <xf numFmtId="0" fontId="58" fillId="0" borderId="0" xfId="0" applyFont="1" applyBorder="1" applyAlignment="1" applyProtection="1">
      <alignment vertical="center" wrapText="1"/>
    </xf>
    <xf numFmtId="0" fontId="17" fillId="42" borderId="12" xfId="0" applyFont="1" applyFill="1" applyBorder="1" applyAlignment="1" applyProtection="1">
      <alignment vertical="center" wrapText="1"/>
    </xf>
    <xf numFmtId="0" fontId="58" fillId="0" borderId="0" xfId="0" applyFont="1" applyFill="1" applyBorder="1" applyAlignment="1" applyProtection="1">
      <alignment vertical="center" wrapText="1"/>
    </xf>
    <xf numFmtId="0" fontId="58" fillId="0" borderId="42" xfId="0" applyFont="1" applyFill="1" applyBorder="1" applyAlignment="1" applyProtection="1">
      <alignment vertical="center"/>
    </xf>
    <xf numFmtId="0" fontId="58" fillId="0" borderId="0" xfId="0" applyFont="1" applyFill="1" applyBorder="1" applyAlignment="1" applyProtection="1">
      <alignment vertical="center"/>
    </xf>
    <xf numFmtId="43" fontId="58" fillId="0" borderId="0" xfId="82" applyFont="1" applyBorder="1" applyAlignment="1" applyProtection="1">
      <alignment vertical="center"/>
    </xf>
    <xf numFmtId="0" fontId="58" fillId="0" borderId="33" xfId="0" applyFont="1" applyFill="1" applyBorder="1" applyAlignment="1" applyProtection="1">
      <alignment vertical="center"/>
    </xf>
    <xf numFmtId="0" fontId="58" fillId="0" borderId="75" xfId="0" applyFont="1" applyFill="1" applyBorder="1" applyAlignment="1" applyProtection="1">
      <alignment vertical="center"/>
    </xf>
    <xf numFmtId="4" fontId="58" fillId="0" borderId="0" xfId="0" applyNumberFormat="1" applyFont="1" applyFill="1" applyBorder="1" applyAlignment="1" applyProtection="1">
      <alignment horizontal="center" vertical="center"/>
    </xf>
    <xf numFmtId="43" fontId="17" fillId="0" borderId="0" xfId="83" applyFont="1" applyBorder="1" applyAlignment="1" applyProtection="1">
      <alignment horizontal="right" vertical="center"/>
    </xf>
    <xf numFmtId="43" fontId="58" fillId="0" borderId="0" xfId="82" applyFont="1"/>
    <xf numFmtId="43" fontId="60" fillId="0" borderId="0" xfId="83" applyFont="1" applyBorder="1" applyAlignment="1" applyProtection="1">
      <alignment horizontal="right" vertical="center"/>
    </xf>
    <xf numFmtId="186" fontId="0" fillId="0" borderId="0" xfId="0" applyNumberFormat="1" applyAlignment="1" applyProtection="1">
      <alignment vertical="center"/>
    </xf>
    <xf numFmtId="43" fontId="72" fillId="0" borderId="0" xfId="82" applyFont="1" applyAlignment="1" applyProtection="1">
      <alignment horizontal="center"/>
    </xf>
    <xf numFmtId="2" fontId="58" fillId="0" borderId="42" xfId="85" applyNumberFormat="1" applyFont="1" applyFill="1" applyBorder="1" applyAlignment="1" applyProtection="1">
      <alignment horizontal="center" vertical="center"/>
    </xf>
    <xf numFmtId="2" fontId="58" fillId="0" borderId="42" xfId="126" applyNumberFormat="1" applyFont="1" applyFill="1" applyBorder="1" applyAlignment="1" applyProtection="1">
      <alignment horizontal="center" vertical="center"/>
    </xf>
    <xf numFmtId="2" fontId="73" fillId="0" borderId="0" xfId="0" applyNumberFormat="1" applyFont="1"/>
    <xf numFmtId="2" fontId="58" fillId="0" borderId="33" xfId="85" applyNumberFormat="1" applyFont="1" applyFill="1" applyBorder="1" applyAlignment="1" applyProtection="1">
      <alignment horizontal="center" vertical="center"/>
    </xf>
    <xf numFmtId="2" fontId="58" fillId="0" borderId="33" xfId="126" applyNumberFormat="1" applyFont="1" applyFill="1" applyBorder="1" applyAlignment="1" applyProtection="1">
      <alignment horizontal="center" vertical="center"/>
    </xf>
    <xf numFmtId="2" fontId="58" fillId="0" borderId="75" xfId="85" applyNumberFormat="1" applyFont="1" applyFill="1" applyBorder="1" applyAlignment="1" applyProtection="1">
      <alignment horizontal="center" vertical="center"/>
    </xf>
    <xf numFmtId="2" fontId="58" fillId="0" borderId="75" xfId="126" applyNumberFormat="1" applyFont="1" applyFill="1" applyBorder="1" applyAlignment="1" applyProtection="1">
      <alignment horizontal="center" vertical="center"/>
    </xf>
    <xf numFmtId="2" fontId="58" fillId="0" borderId="0" xfId="85" applyNumberFormat="1" applyFont="1" applyFill="1" applyBorder="1" applyAlignment="1" applyProtection="1">
      <alignment horizontal="center" vertical="center"/>
    </xf>
    <xf numFmtId="0" fontId="4" fillId="0" borderId="77" xfId="0" applyFont="1" applyBorder="1" applyAlignment="1" applyProtection="1">
      <alignment horizontal="center" vertical="center" wrapText="1"/>
    </xf>
    <xf numFmtId="0" fontId="4" fillId="0" borderId="83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justify" wrapText="1"/>
    </xf>
    <xf numFmtId="172" fontId="61" fillId="0" borderId="84" xfId="85" applyNumberFormat="1" applyFont="1" applyFill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107" xfId="0" applyFont="1" applyBorder="1" applyAlignment="1" applyProtection="1">
      <alignment horizontal="center" vertical="center" wrapText="1"/>
    </xf>
    <xf numFmtId="0" fontId="4" fillId="0" borderId="68" xfId="0" applyFont="1" applyFill="1" applyBorder="1" applyAlignment="1" applyProtection="1">
      <alignment horizontal="center" vertical="center" wrapText="1"/>
    </xf>
    <xf numFmtId="0" fontId="4" fillId="0" borderId="107" xfId="0" applyFont="1" applyFill="1" applyBorder="1" applyAlignment="1" applyProtection="1">
      <alignment horizontal="center" vertical="center" wrapText="1"/>
    </xf>
    <xf numFmtId="0" fontId="29" fillId="0" borderId="98" xfId="0" applyFont="1" applyBorder="1" applyAlignment="1">
      <alignment horizontal="justify" wrapText="1"/>
    </xf>
    <xf numFmtId="0" fontId="2" fillId="0" borderId="81" xfId="82" applyNumberFormat="1" applyFont="1" applyBorder="1" applyAlignment="1" applyProtection="1">
      <alignment horizontal="center" vertical="center"/>
    </xf>
    <xf numFmtId="0" fontId="2" fillId="0" borderId="41" xfId="82" applyNumberFormat="1" applyFont="1" applyBorder="1" applyAlignment="1" applyProtection="1">
      <alignment horizontal="center" vertical="center"/>
    </xf>
    <xf numFmtId="0" fontId="2" fillId="0" borderId="107" xfId="82" applyNumberFormat="1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top" wrapText="1"/>
    </xf>
    <xf numFmtId="0" fontId="0" fillId="0" borderId="126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111" xfId="0" applyBorder="1" applyAlignment="1" applyProtection="1">
      <alignment horizontal="center" vertical="center"/>
    </xf>
    <xf numFmtId="0" fontId="29" fillId="0" borderId="0" xfId="0" applyFont="1" applyAlignment="1">
      <alignment horizontal="left" wrapText="1"/>
    </xf>
    <xf numFmtId="177" fontId="4" fillId="0" borderId="88" xfId="0" applyNumberFormat="1" applyFont="1" applyBorder="1" applyAlignment="1" applyProtection="1">
      <alignment horizontal="center" vertical="center"/>
    </xf>
    <xf numFmtId="177" fontId="4" fillId="0" borderId="36" xfId="0" applyNumberFormat="1" applyFont="1" applyBorder="1" applyAlignment="1" applyProtection="1">
      <alignment horizontal="center" vertical="center"/>
    </xf>
    <xf numFmtId="177" fontId="4" fillId="0" borderId="89" xfId="0" applyNumberFormat="1" applyFont="1" applyBorder="1" applyAlignment="1" applyProtection="1">
      <alignment horizontal="center" vertical="center"/>
    </xf>
    <xf numFmtId="0" fontId="4" fillId="0" borderId="88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104" xfId="0" applyFont="1" applyBorder="1" applyAlignment="1" applyProtection="1">
      <alignment horizontal="center" vertical="center"/>
    </xf>
    <xf numFmtId="44" fontId="4" fillId="0" borderId="36" xfId="85" applyFont="1" applyBorder="1" applyAlignment="1" applyProtection="1">
      <alignment horizontal="center" vertical="center"/>
    </xf>
    <xf numFmtId="44" fontId="4" fillId="0" borderId="104" xfId="85" applyFont="1" applyBorder="1" applyAlignment="1" applyProtection="1">
      <alignment horizontal="center" vertical="center"/>
    </xf>
    <xf numFmtId="0" fontId="9" fillId="0" borderId="98" xfId="0" applyFont="1" applyBorder="1" applyAlignment="1" applyProtection="1">
      <alignment horizontal="center" vertical="center"/>
    </xf>
    <xf numFmtId="0" fontId="2" fillId="31" borderId="78" xfId="0" applyFont="1" applyFill="1" applyBorder="1" applyAlignment="1" applyProtection="1">
      <alignment horizontal="center" vertical="center" wrapText="1"/>
    </xf>
    <xf numFmtId="0" fontId="2" fillId="31" borderId="75" xfId="0" applyFont="1" applyFill="1" applyBorder="1" applyAlignment="1" applyProtection="1">
      <alignment horizontal="center" vertical="center" wrapText="1"/>
    </xf>
    <xf numFmtId="0" fontId="2" fillId="32" borderId="78" xfId="0" applyFont="1" applyFill="1" applyBorder="1" applyAlignment="1" applyProtection="1">
      <alignment horizontal="center" vertical="center" wrapText="1"/>
    </xf>
    <xf numFmtId="0" fontId="2" fillId="32" borderId="75" xfId="0" applyFont="1" applyFill="1" applyBorder="1" applyAlignment="1" applyProtection="1">
      <alignment horizontal="center" vertical="center" wrapText="1"/>
    </xf>
    <xf numFmtId="2" fontId="2" fillId="0" borderId="68" xfId="0" applyNumberFormat="1" applyFont="1" applyBorder="1" applyAlignment="1" applyProtection="1">
      <alignment horizontal="center" vertical="center" wrapText="1"/>
    </xf>
    <xf numFmtId="2" fontId="2" fillId="0" borderId="107" xfId="0" applyNumberFormat="1" applyFont="1" applyBorder="1" applyAlignment="1" applyProtection="1">
      <alignment horizontal="center" vertical="center" wrapText="1"/>
    </xf>
    <xf numFmtId="0" fontId="2" fillId="35" borderId="79" xfId="0" applyFont="1" applyFill="1" applyBorder="1" applyAlignment="1" applyProtection="1">
      <alignment horizontal="center" vertical="center" wrapText="1"/>
    </xf>
    <xf numFmtId="0" fontId="2" fillId="35" borderId="51" xfId="0" applyFont="1" applyFill="1" applyBorder="1" applyAlignment="1" applyProtection="1">
      <alignment horizontal="center" vertical="center" wrapText="1"/>
    </xf>
    <xf numFmtId="0" fontId="2" fillId="34" borderId="78" xfId="0" applyFont="1" applyFill="1" applyBorder="1" applyAlignment="1" applyProtection="1">
      <alignment horizontal="center" vertical="center" wrapText="1"/>
    </xf>
    <xf numFmtId="0" fontId="2" fillId="34" borderId="33" xfId="0" applyFont="1" applyFill="1" applyBorder="1" applyAlignment="1" applyProtection="1">
      <alignment horizontal="center" vertical="center" wrapText="1"/>
    </xf>
    <xf numFmtId="0" fontId="2" fillId="33" borderId="79" xfId="0" applyFont="1" applyFill="1" applyBorder="1" applyAlignment="1" applyProtection="1">
      <alignment horizontal="center" vertical="center" wrapText="1"/>
    </xf>
    <xf numFmtId="0" fontId="2" fillId="33" borderId="51" xfId="0" applyFont="1" applyFill="1" applyBorder="1" applyAlignment="1" applyProtection="1">
      <alignment horizontal="center" vertical="center" wrapText="1"/>
    </xf>
    <xf numFmtId="0" fontId="2" fillId="28" borderId="79" xfId="0" applyFont="1" applyFill="1" applyBorder="1" applyAlignment="1" applyProtection="1">
      <alignment horizontal="center" vertical="center" wrapText="1"/>
    </xf>
    <xf numFmtId="0" fontId="2" fillId="28" borderId="51" xfId="0" applyFont="1" applyFill="1" applyBorder="1" applyAlignment="1" applyProtection="1">
      <alignment horizontal="center" vertical="center" wrapText="1"/>
    </xf>
    <xf numFmtId="169" fontId="0" fillId="26" borderId="78" xfId="0" applyNumberFormat="1" applyFill="1" applyBorder="1" applyAlignment="1" applyProtection="1">
      <alignment horizontal="center" vertical="center" wrapText="1"/>
    </xf>
    <xf numFmtId="169" fontId="0" fillId="26" borderId="33" xfId="0" applyNumberFormat="1" applyFill="1" applyBorder="1" applyAlignment="1" applyProtection="1">
      <alignment horizontal="center" vertical="center" wrapText="1"/>
    </xf>
    <xf numFmtId="169" fontId="12" fillId="26" borderId="79" xfId="0" applyNumberFormat="1" applyFont="1" applyFill="1" applyBorder="1" applyAlignment="1" applyProtection="1">
      <alignment horizontal="center" vertical="center" wrapText="1"/>
    </xf>
    <xf numFmtId="169" fontId="12" fillId="26" borderId="51" xfId="0" applyNumberFormat="1" applyFont="1" applyFill="1" applyBorder="1" applyAlignment="1" applyProtection="1">
      <alignment horizontal="center" vertical="center" wrapText="1"/>
    </xf>
    <xf numFmtId="0" fontId="2" fillId="29" borderId="77" xfId="0" applyFont="1" applyFill="1" applyBorder="1" applyAlignment="1" applyProtection="1">
      <alignment horizontal="center" vertical="center" wrapText="1"/>
    </xf>
    <xf numFmtId="0" fontId="2" fillId="29" borderId="82" xfId="0" applyFont="1" applyFill="1" applyBorder="1" applyAlignment="1" applyProtection="1">
      <alignment horizontal="center" vertical="center" wrapText="1"/>
    </xf>
    <xf numFmtId="0" fontId="2" fillId="29" borderId="127" xfId="0" applyFont="1" applyFill="1" applyBorder="1" applyAlignment="1" applyProtection="1">
      <alignment horizontal="center" vertical="center" wrapText="1"/>
    </xf>
    <xf numFmtId="0" fontId="2" fillId="31" borderId="81" xfId="0" applyFont="1" applyFill="1" applyBorder="1" applyAlignment="1" applyProtection="1">
      <alignment horizontal="center" vertical="center" wrapText="1"/>
    </xf>
    <xf numFmtId="0" fontId="2" fillId="31" borderId="123" xfId="0" applyFont="1" applyFill="1" applyBorder="1" applyAlignment="1" applyProtection="1">
      <alignment horizontal="center" vertical="center" wrapText="1"/>
    </xf>
    <xf numFmtId="0" fontId="0" fillId="36" borderId="78" xfId="0" applyFill="1" applyBorder="1" applyAlignment="1" applyProtection="1">
      <alignment horizontal="center" vertical="center" wrapText="1"/>
    </xf>
    <xf numFmtId="0" fontId="0" fillId="36" borderId="33" xfId="0" applyFill="1" applyBorder="1" applyAlignment="1" applyProtection="1">
      <alignment horizontal="center" vertical="center" wrapText="1"/>
    </xf>
    <xf numFmtId="0" fontId="12" fillId="0" borderId="79" xfId="0" applyFont="1" applyFill="1" applyBorder="1" applyAlignment="1" applyProtection="1">
      <alignment horizontal="center" vertical="center" wrapText="1"/>
    </xf>
    <xf numFmtId="0" fontId="12" fillId="0" borderId="51" xfId="0" applyFont="1" applyFill="1" applyBorder="1" applyAlignment="1" applyProtection="1">
      <alignment horizontal="center" vertical="center" wrapText="1"/>
    </xf>
    <xf numFmtId="169" fontId="12" fillId="36" borderId="79" xfId="0" applyNumberFormat="1" applyFont="1" applyFill="1" applyBorder="1" applyAlignment="1" applyProtection="1">
      <alignment horizontal="center" vertical="center" wrapText="1"/>
    </xf>
    <xf numFmtId="169" fontId="12" fillId="36" borderId="51" xfId="0" applyNumberFormat="1" applyFont="1" applyFill="1" applyBorder="1" applyAlignment="1" applyProtection="1">
      <alignment horizontal="center" vertical="center" wrapText="1"/>
    </xf>
    <xf numFmtId="169" fontId="12" fillId="27" borderId="79" xfId="0" applyNumberFormat="1" applyFont="1" applyFill="1" applyBorder="1" applyAlignment="1" applyProtection="1">
      <alignment horizontal="center" vertical="center" wrapText="1"/>
    </xf>
    <xf numFmtId="169" fontId="12" fillId="27" borderId="51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horizontal="justify" wrapText="1"/>
    </xf>
    <xf numFmtId="0" fontId="4" fillId="26" borderId="88" xfId="0" applyFont="1" applyFill="1" applyBorder="1" applyAlignment="1" applyProtection="1">
      <alignment horizontal="center" vertical="center"/>
    </xf>
    <xf numFmtId="0" fontId="4" fillId="26" borderId="36" xfId="0" applyFont="1" applyFill="1" applyBorder="1" applyAlignment="1" applyProtection="1">
      <alignment horizontal="center" vertical="center"/>
    </xf>
    <xf numFmtId="0" fontId="4" fillId="26" borderId="104" xfId="0" applyFont="1" applyFill="1" applyBorder="1" applyAlignment="1" applyProtection="1">
      <alignment horizontal="center" vertical="center"/>
    </xf>
    <xf numFmtId="0" fontId="4" fillId="36" borderId="88" xfId="0" applyFont="1" applyFill="1" applyBorder="1" applyAlignment="1" applyProtection="1">
      <alignment horizontal="center" vertical="center"/>
    </xf>
    <xf numFmtId="0" fontId="4" fillId="36" borderId="36" xfId="0" applyFont="1" applyFill="1" applyBorder="1" applyAlignment="1" applyProtection="1">
      <alignment horizontal="center" vertical="center"/>
    </xf>
    <xf numFmtId="0" fontId="4" fillId="36" borderId="104" xfId="0" applyFont="1" applyFill="1" applyBorder="1" applyAlignment="1" applyProtection="1">
      <alignment horizontal="center" vertical="center"/>
    </xf>
    <xf numFmtId="0" fontId="4" fillId="27" borderId="88" xfId="0" applyFont="1" applyFill="1" applyBorder="1" applyAlignment="1" applyProtection="1">
      <alignment horizontal="center" vertical="center"/>
    </xf>
    <xf numFmtId="0" fontId="4" fillId="27" borderId="36" xfId="0" applyFont="1" applyFill="1" applyBorder="1" applyAlignment="1" applyProtection="1">
      <alignment horizontal="center" vertical="center"/>
    </xf>
    <xf numFmtId="0" fontId="4" fillId="27" borderId="104" xfId="0" applyFont="1" applyFill="1" applyBorder="1" applyAlignment="1" applyProtection="1">
      <alignment horizontal="center" vertical="center"/>
    </xf>
    <xf numFmtId="0" fontId="0" fillId="36" borderId="90" xfId="0" applyFill="1" applyBorder="1" applyAlignment="1" applyProtection="1">
      <alignment horizontal="center" vertical="center" wrapText="1"/>
    </xf>
    <xf numFmtId="0" fontId="0" fillId="36" borderId="35" xfId="0" applyFill="1" applyBorder="1" applyAlignment="1" applyProtection="1">
      <alignment horizontal="center" vertical="center" wrapText="1"/>
    </xf>
    <xf numFmtId="0" fontId="0" fillId="36" borderId="73" xfId="0" applyFill="1" applyBorder="1" applyAlignment="1" applyProtection="1">
      <alignment horizontal="center" vertical="center" wrapText="1"/>
    </xf>
    <xf numFmtId="0" fontId="0" fillId="36" borderId="32" xfId="0" applyFill="1" applyBorder="1" applyAlignment="1" applyProtection="1">
      <alignment horizontal="center" vertical="center" wrapText="1"/>
    </xf>
    <xf numFmtId="166" fontId="1" fillId="27" borderId="79" xfId="82" applyNumberFormat="1" applyFont="1" applyFill="1" applyBorder="1" applyAlignment="1" applyProtection="1">
      <alignment horizontal="center" vertical="center" wrapText="1"/>
    </xf>
    <xf numFmtId="166" fontId="1" fillId="27" borderId="51" xfId="82" applyNumberFormat="1" applyFont="1" applyFill="1" applyBorder="1" applyAlignment="1" applyProtection="1">
      <alignment horizontal="center" vertical="center" wrapText="1"/>
    </xf>
    <xf numFmtId="166" fontId="1" fillId="26" borderId="73" xfId="82" applyNumberFormat="1" applyFont="1" applyFill="1" applyBorder="1" applyAlignment="1" applyProtection="1">
      <alignment horizontal="center" vertical="center" wrapText="1"/>
    </xf>
    <xf numFmtId="166" fontId="1" fillId="26" borderId="32" xfId="82" applyNumberFormat="1" applyFont="1" applyFill="1" applyBorder="1" applyAlignment="1" applyProtection="1">
      <alignment horizontal="center" vertical="center" wrapText="1"/>
    </xf>
    <xf numFmtId="0" fontId="0" fillId="27" borderId="73" xfId="0" applyFill="1" applyBorder="1" applyAlignment="1" applyProtection="1">
      <alignment horizontal="center" vertical="center" wrapText="1"/>
    </xf>
    <xf numFmtId="0" fontId="0" fillId="27" borderId="32" xfId="0" applyFill="1" applyBorder="1" applyAlignment="1" applyProtection="1">
      <alignment horizontal="center" vertical="center" wrapText="1"/>
    </xf>
    <xf numFmtId="166" fontId="1" fillId="26" borderId="90" xfId="82" applyNumberFormat="1" applyFont="1" applyFill="1" applyBorder="1" applyAlignment="1" applyProtection="1">
      <alignment horizontal="center" vertical="center" wrapText="1"/>
    </xf>
    <xf numFmtId="166" fontId="1" fillId="26" borderId="35" xfId="82" applyNumberFormat="1" applyFont="1" applyFill="1" applyBorder="1" applyAlignment="1" applyProtection="1">
      <alignment horizontal="center" vertical="center" wrapText="1"/>
    </xf>
    <xf numFmtId="0" fontId="27" fillId="0" borderId="77" xfId="0" applyFont="1" applyFill="1" applyBorder="1" applyAlignment="1" applyProtection="1">
      <alignment horizontal="center" vertical="center" wrapText="1"/>
    </xf>
    <xf numFmtId="0" fontId="27" fillId="0" borderId="83" xfId="0" applyFont="1" applyFill="1" applyBorder="1" applyAlignment="1" applyProtection="1">
      <alignment horizontal="center" vertical="center" wrapText="1"/>
    </xf>
    <xf numFmtId="10" fontId="28" fillId="40" borderId="86" xfId="0" applyNumberFormat="1" applyFont="1" applyFill="1" applyBorder="1" applyAlignment="1" applyProtection="1">
      <alignment horizontal="center" vertical="center" wrapText="1"/>
    </xf>
    <xf numFmtId="10" fontId="28" fillId="40" borderId="51" xfId="0" applyNumberFormat="1" applyFont="1" applyFill="1" applyBorder="1" applyAlignment="1" applyProtection="1">
      <alignment horizontal="center" vertical="center" wrapText="1"/>
    </xf>
    <xf numFmtId="10" fontId="28" fillId="40" borderId="124" xfId="0" applyNumberFormat="1" applyFont="1" applyFill="1" applyBorder="1" applyAlignment="1" applyProtection="1">
      <alignment horizontal="center" vertical="center" wrapText="1"/>
    </xf>
    <xf numFmtId="0" fontId="17" fillId="42" borderId="13" xfId="0" applyFont="1" applyFill="1" applyBorder="1" applyAlignment="1" applyProtection="1">
      <alignment horizontal="center" vertical="center" wrapText="1"/>
    </xf>
    <xf numFmtId="0" fontId="17" fillId="42" borderId="49" xfId="0" applyFont="1" applyFill="1" applyBorder="1" applyAlignment="1" applyProtection="1">
      <alignment horizontal="center" vertical="center" wrapText="1"/>
    </xf>
    <xf numFmtId="0" fontId="17" fillId="42" borderId="15" xfId="0" applyFont="1" applyFill="1" applyBorder="1" applyAlignment="1" applyProtection="1">
      <alignment horizontal="center" vertical="center" wrapText="1"/>
    </xf>
  </cellXfs>
  <cellStyles count="138">
    <cellStyle name="20% - Accent1" xfId="1" builtinId="30" customBuiltin="1"/>
    <cellStyle name="20% - Accent1 2" xfId="2"/>
    <cellStyle name="20% - Accent1 3" xfId="3"/>
    <cellStyle name="20% - Accent2" xfId="4" builtinId="34" customBuiltin="1"/>
    <cellStyle name="20% - Accent2 2" xfId="5"/>
    <cellStyle name="20% - Accent2 3" xfId="6"/>
    <cellStyle name="20% - Accent3" xfId="7" builtinId="38" customBuiltin="1"/>
    <cellStyle name="20% - Accent3 2" xfId="8"/>
    <cellStyle name="20% - Accent3 3" xfId="9"/>
    <cellStyle name="20% - Accent4" xfId="10" builtinId="42" customBuiltin="1"/>
    <cellStyle name="20% - Accent4 2" xfId="11"/>
    <cellStyle name="20% - Accent4 3" xfId="12"/>
    <cellStyle name="20% - Accent5" xfId="13" builtinId="46" customBuiltin="1"/>
    <cellStyle name="20% - Accent5 2" xfId="14"/>
    <cellStyle name="20% - Accent5 3" xfId="15"/>
    <cellStyle name="20% - Accent6" xfId="16" builtinId="50" customBuiltin="1"/>
    <cellStyle name="20% - Accent6 2" xfId="17"/>
    <cellStyle name="20% - Accent6 3" xfId="18"/>
    <cellStyle name="40% - Accent1" xfId="19" builtinId="31" customBuiltin="1"/>
    <cellStyle name="40% - Accent1 2" xfId="20"/>
    <cellStyle name="40% - Accent1 3" xfId="21"/>
    <cellStyle name="40% - Accent2" xfId="22" builtinId="35" customBuiltin="1"/>
    <cellStyle name="40% - Accent2 2" xfId="23"/>
    <cellStyle name="40% - Accent2 3" xfId="24"/>
    <cellStyle name="40% - Accent3" xfId="25" builtinId="39" customBuiltin="1"/>
    <cellStyle name="40% - Accent3 2" xfId="26"/>
    <cellStyle name="40% - Accent3 3" xfId="27"/>
    <cellStyle name="40% - Accent4" xfId="28" builtinId="43" customBuiltin="1"/>
    <cellStyle name="40% - Accent4 2" xfId="29"/>
    <cellStyle name="40% - Accent4 3" xfId="30"/>
    <cellStyle name="40% - Accent5" xfId="31" builtinId="47" customBuiltin="1"/>
    <cellStyle name="40% - Accent5 2" xfId="32"/>
    <cellStyle name="40% - Accent5 3" xfId="33"/>
    <cellStyle name="40% - Accent6" xfId="34" builtinId="51" customBuiltin="1"/>
    <cellStyle name="40% - Accent6 2" xfId="35"/>
    <cellStyle name="40% - Accent6 3" xfId="36"/>
    <cellStyle name="60% - Accent1" xfId="37" builtinId="32" customBuiltin="1"/>
    <cellStyle name="60% - Accent1 2" xfId="38"/>
    <cellStyle name="60% - Accent1 3" xfId="39"/>
    <cellStyle name="60% - Accent2" xfId="40" builtinId="36" customBuiltin="1"/>
    <cellStyle name="60% - Accent2 2" xfId="41"/>
    <cellStyle name="60% - Accent2 3" xfId="42"/>
    <cellStyle name="60% - Accent3" xfId="43" builtinId="40" customBuiltin="1"/>
    <cellStyle name="60% - Accent3 2" xfId="44"/>
    <cellStyle name="60% - Accent3 3" xfId="45"/>
    <cellStyle name="60% - Accent4" xfId="46" builtinId="44" customBuiltin="1"/>
    <cellStyle name="60% - Accent4 2" xfId="47"/>
    <cellStyle name="60% - Accent4 3" xfId="48"/>
    <cellStyle name="60% - Accent5" xfId="49" builtinId="48" customBuiltin="1"/>
    <cellStyle name="60% - Accent5 2" xfId="50"/>
    <cellStyle name="60% - Accent5 3" xfId="51"/>
    <cellStyle name="60% - Accent6" xfId="52" builtinId="52" customBuiltin="1"/>
    <cellStyle name="60% - Accent6 2" xfId="53"/>
    <cellStyle name="60% - Accent6 3" xfId="54"/>
    <cellStyle name="Accent1" xfId="55" builtinId="29" customBuiltin="1"/>
    <cellStyle name="Accent1 2" xfId="56"/>
    <cellStyle name="Accent1 3" xfId="57"/>
    <cellStyle name="Accent2" xfId="58" builtinId="33" customBuiltin="1"/>
    <cellStyle name="Accent2 2" xfId="59"/>
    <cellStyle name="Accent2 3" xfId="60"/>
    <cellStyle name="Accent3" xfId="61" builtinId="37" customBuiltin="1"/>
    <cellStyle name="Accent3 2" xfId="62"/>
    <cellStyle name="Accent3 3" xfId="63"/>
    <cellStyle name="Accent4" xfId="64" builtinId="41" customBuiltin="1"/>
    <cellStyle name="Accent4 2" xfId="65"/>
    <cellStyle name="Accent4 3" xfId="66"/>
    <cellStyle name="Accent5" xfId="67" builtinId="45" customBuiltin="1"/>
    <cellStyle name="Accent5 2" xfId="68"/>
    <cellStyle name="Accent5 3" xfId="69"/>
    <cellStyle name="Accent6" xfId="70" builtinId="49" customBuiltin="1"/>
    <cellStyle name="Accent6 2" xfId="71"/>
    <cellStyle name="Accent6 3" xfId="72"/>
    <cellStyle name="Bad" xfId="73" builtinId="27" customBuiltin="1"/>
    <cellStyle name="Bad 2" xfId="74"/>
    <cellStyle name="Bad 3" xfId="75"/>
    <cellStyle name="Calculation" xfId="76" builtinId="22" customBuiltin="1"/>
    <cellStyle name="Calculation 2" xfId="77"/>
    <cellStyle name="Calculation 3" xfId="78"/>
    <cellStyle name="Check Cell" xfId="79" builtinId="23" customBuiltin="1"/>
    <cellStyle name="Check Cell 2" xfId="80"/>
    <cellStyle name="Check Cell 3" xfId="81"/>
    <cellStyle name="Comma" xfId="82" builtinId="3"/>
    <cellStyle name="Comma 2" xfId="83"/>
    <cellStyle name="Comma0" xfId="84"/>
    <cellStyle name="Currency" xfId="85" builtinId="4"/>
    <cellStyle name="Currency 2" xfId="86"/>
    <cellStyle name="Currency0" xfId="87"/>
    <cellStyle name="Explanatory Text" xfId="88" builtinId="53" customBuiltin="1"/>
    <cellStyle name="Explanatory Text 2" xfId="89"/>
    <cellStyle name="Explanatory Text 3" xfId="90"/>
    <cellStyle name="Good" xfId="91" builtinId="26" customBuiltin="1"/>
    <cellStyle name="Good 2" xfId="92"/>
    <cellStyle name="Good 3" xfId="93"/>
    <cellStyle name="Heading 1" xfId="94" builtinId="16" customBuiltin="1"/>
    <cellStyle name="Heading 1 2" xfId="95"/>
    <cellStyle name="Heading 1 3" xfId="96"/>
    <cellStyle name="Heading 2" xfId="97" builtinId="17" customBuiltin="1"/>
    <cellStyle name="Heading 2 2" xfId="98"/>
    <cellStyle name="Heading 2 3" xfId="99"/>
    <cellStyle name="Heading 3" xfId="100" builtinId="18" customBuiltin="1"/>
    <cellStyle name="Heading 3 2" xfId="101"/>
    <cellStyle name="Heading 3 3" xfId="102"/>
    <cellStyle name="Heading 4" xfId="103" builtinId="19" customBuiltin="1"/>
    <cellStyle name="Heading 4 2" xfId="104"/>
    <cellStyle name="Heading 4 3" xfId="105"/>
    <cellStyle name="Input" xfId="106" builtinId="20" customBuiltin="1"/>
    <cellStyle name="Input 2" xfId="107"/>
    <cellStyle name="Input 3" xfId="108"/>
    <cellStyle name="Linked Cell" xfId="109" builtinId="24" customBuiltin="1"/>
    <cellStyle name="Linked Cell 2" xfId="110"/>
    <cellStyle name="Linked Cell 3" xfId="111"/>
    <cellStyle name="Neutral" xfId="112" builtinId="28" customBuiltin="1"/>
    <cellStyle name="Neutral 2" xfId="113"/>
    <cellStyle name="Neutral 3" xfId="114"/>
    <cellStyle name="Normal" xfId="0" builtinId="0"/>
    <cellStyle name="Normal 18" xfId="115"/>
    <cellStyle name="Normal 2" xfId="116"/>
    <cellStyle name="Normal 2 2" xfId="117"/>
    <cellStyle name="Normal 3 3" xfId="118"/>
    <cellStyle name="Normal 5" xfId="119"/>
    <cellStyle name="Note" xfId="120" builtinId="10" customBuiltin="1"/>
    <cellStyle name="Note 2" xfId="121"/>
    <cellStyle name="Note 3" xfId="122"/>
    <cellStyle name="Output" xfId="123" builtinId="21" customBuiltin="1"/>
    <cellStyle name="Output 2" xfId="124"/>
    <cellStyle name="Output 3" xfId="125"/>
    <cellStyle name="Percent" xfId="126" builtinId="5"/>
    <cellStyle name="Percent 2" xfId="127"/>
    <cellStyle name="Percent 3" xfId="128"/>
    <cellStyle name="Title" xfId="129" builtinId="15" customBuiltin="1"/>
    <cellStyle name="Title 2" xfId="130"/>
    <cellStyle name="Title 3" xfId="131"/>
    <cellStyle name="Total" xfId="132" builtinId="25" customBuiltin="1"/>
    <cellStyle name="Total 2" xfId="133"/>
    <cellStyle name="Total 3" xfId="134"/>
    <cellStyle name="Warning Text" xfId="135" builtinId="11" customBuiltin="1"/>
    <cellStyle name="Warning Text 2" xfId="136"/>
    <cellStyle name="Warning Text 3" xfId="137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alcChain" Target="calcChain.xml"/><Relationship Id="rId12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M74"/>
  <sheetViews>
    <sheetView showGridLines="0" zoomScale="85" workbookViewId="0"/>
  </sheetViews>
  <sheetFormatPr baseColWidth="10" defaultColWidth="8.83203125" defaultRowHeight="12" x14ac:dyDescent="0"/>
  <cols>
    <col min="1" max="1" width="41.83203125" style="2" customWidth="1"/>
    <col min="2" max="2" width="16.33203125" style="2" customWidth="1"/>
    <col min="3" max="3" width="12.33203125" style="2" bestFit="1" customWidth="1"/>
    <col min="4" max="4" width="30.33203125" style="2" customWidth="1"/>
    <col min="5" max="5" width="21.5" style="2" customWidth="1"/>
    <col min="6" max="6" width="16.33203125" style="2" bestFit="1" customWidth="1"/>
    <col min="7" max="8" width="18.5" style="2" customWidth="1"/>
    <col min="9" max="10" width="8.83203125" style="2"/>
    <col min="11" max="11" width="15.83203125" style="2" bestFit="1" customWidth="1"/>
    <col min="12" max="12" width="26.6640625" style="2" bestFit="1" customWidth="1"/>
    <col min="13" max="13" width="14.1640625" style="2" customWidth="1"/>
    <col min="14" max="16384" width="8.83203125" style="2"/>
  </cols>
  <sheetData>
    <row r="1" spans="1:13" ht="23">
      <c r="A1" s="412" t="s">
        <v>168</v>
      </c>
      <c r="E1" s="772"/>
      <c r="K1" s="849"/>
      <c r="L1" s="849"/>
      <c r="M1" s="849"/>
    </row>
    <row r="2" spans="1:13" ht="15.75" customHeight="1">
      <c r="A2" s="412"/>
      <c r="E2" s="817"/>
    </row>
    <row r="3" spans="1:13" ht="15">
      <c r="A3" s="1031"/>
      <c r="B3" s="1031"/>
      <c r="C3" s="1031"/>
      <c r="D3" s="1031"/>
      <c r="E3" s="1031"/>
      <c r="F3" s="1031"/>
      <c r="G3" s="1031"/>
      <c r="H3" s="1031"/>
    </row>
    <row r="4" spans="1:13" s="741" customFormat="1" ht="24.75" customHeight="1">
      <c r="A4" s="829"/>
      <c r="B4" s="829"/>
      <c r="C4" s="829"/>
      <c r="D4" s="829"/>
      <c r="E4" s="829"/>
      <c r="F4" s="829"/>
      <c r="G4" s="829"/>
      <c r="H4" s="829"/>
    </row>
    <row r="5" spans="1:13" ht="13" thickBot="1"/>
    <row r="6" spans="1:13" ht="42">
      <c r="A6" s="561" t="s">
        <v>127</v>
      </c>
      <c r="B6" s="613"/>
      <c r="D6" s="626"/>
      <c r="E6" s="773" t="s">
        <v>180</v>
      </c>
      <c r="G6" s="1029" t="s">
        <v>134</v>
      </c>
      <c r="H6" s="1030"/>
      <c r="I6" s="741"/>
      <c r="J6" s="940"/>
      <c r="K6" s="947" t="s">
        <v>31</v>
      </c>
      <c r="L6" s="948" t="s">
        <v>27</v>
      </c>
      <c r="M6" s="949" t="s">
        <v>178</v>
      </c>
    </row>
    <row r="7" spans="1:13" ht="14">
      <c r="A7" s="616" t="s">
        <v>115</v>
      </c>
      <c r="B7" s="617">
        <f>'Sheet 2 Gross &amp; Net Costs'!K43</f>
        <v>93449345.00000003</v>
      </c>
      <c r="C7" s="273"/>
      <c r="D7" s="627"/>
      <c r="E7" s="774" t="s">
        <v>68</v>
      </c>
      <c r="G7" s="622"/>
      <c r="H7" s="555" t="s">
        <v>112</v>
      </c>
      <c r="I7" s="741"/>
      <c r="J7" s="945">
        <v>1</v>
      </c>
      <c r="K7" s="950" t="s">
        <v>171</v>
      </c>
      <c r="L7" s="951" t="s">
        <v>96</v>
      </c>
      <c r="M7" s="952">
        <v>0</v>
      </c>
    </row>
    <row r="8" spans="1:13" ht="14">
      <c r="A8" s="616" t="s">
        <v>116</v>
      </c>
      <c r="B8" s="617">
        <v>0</v>
      </c>
      <c r="C8" s="938">
        <v>1</v>
      </c>
      <c r="D8" s="620" t="s">
        <v>96</v>
      </c>
      <c r="E8" s="841">
        <v>189971.8873</v>
      </c>
      <c r="G8" s="620" t="s">
        <v>0</v>
      </c>
      <c r="H8" s="843">
        <v>0.18168954294608744</v>
      </c>
      <c r="I8" s="741"/>
      <c r="J8" s="946">
        <v>2</v>
      </c>
      <c r="K8" s="950" t="s">
        <v>171</v>
      </c>
      <c r="L8" s="951" t="s">
        <v>74</v>
      </c>
      <c r="M8" s="952">
        <v>0</v>
      </c>
    </row>
    <row r="9" spans="1:13" ht="14">
      <c r="A9" s="616" t="s">
        <v>117</v>
      </c>
      <c r="B9" s="617">
        <f>B7-B8</f>
        <v>93449345.00000003</v>
      </c>
      <c r="C9" s="938">
        <v>2</v>
      </c>
      <c r="D9" s="620" t="s">
        <v>74</v>
      </c>
      <c r="E9" s="841">
        <v>140044.89630000002</v>
      </c>
      <c r="G9" s="620" t="s">
        <v>4</v>
      </c>
      <c r="H9" s="843">
        <v>0.25795953021083912</v>
      </c>
      <c r="I9" s="741"/>
      <c r="J9" s="946">
        <v>3</v>
      </c>
      <c r="K9" s="950" t="s">
        <v>171</v>
      </c>
      <c r="L9" s="951" t="s">
        <v>3</v>
      </c>
      <c r="M9" s="952">
        <v>0</v>
      </c>
    </row>
    <row r="10" spans="1:13" ht="14">
      <c r="A10" s="616"/>
      <c r="B10" s="618"/>
      <c r="C10" s="938">
        <v>3</v>
      </c>
      <c r="D10" s="620" t="s">
        <v>3</v>
      </c>
      <c r="E10" s="841">
        <v>53801.930999999997</v>
      </c>
      <c r="G10" s="620" t="s">
        <v>9</v>
      </c>
      <c r="H10" s="843">
        <v>0.40696193575774725</v>
      </c>
      <c r="I10" s="741"/>
      <c r="J10" s="946">
        <v>4</v>
      </c>
      <c r="K10" s="950" t="s">
        <v>171</v>
      </c>
      <c r="L10" s="951" t="s">
        <v>1</v>
      </c>
      <c r="M10" s="952">
        <v>0</v>
      </c>
    </row>
    <row r="11" spans="1:13" ht="14">
      <c r="A11" s="616"/>
      <c r="B11" s="617"/>
      <c r="C11" s="938">
        <v>4</v>
      </c>
      <c r="D11" s="620" t="s">
        <v>1</v>
      </c>
      <c r="E11" s="841">
        <v>9560.6026000000002</v>
      </c>
      <c r="G11" s="620" t="s">
        <v>46</v>
      </c>
      <c r="H11" s="843">
        <v>5.447856233196547E-2</v>
      </c>
      <c r="I11" s="741"/>
      <c r="J11" s="946">
        <v>5</v>
      </c>
      <c r="K11" s="950" t="s">
        <v>171</v>
      </c>
      <c r="L11" s="951" t="s">
        <v>2</v>
      </c>
      <c r="M11" s="952">
        <v>0</v>
      </c>
    </row>
    <row r="12" spans="1:13" ht="14">
      <c r="A12" s="616"/>
      <c r="B12" s="617"/>
      <c r="C12" s="938">
        <v>5</v>
      </c>
      <c r="D12" s="620" t="s">
        <v>2</v>
      </c>
      <c r="E12" s="841">
        <v>61056.987299999986</v>
      </c>
      <c r="F12" s="939">
        <f>'Sheet 2 Gross &amp; Net Costs'!E41</f>
        <v>288703459.45274431</v>
      </c>
      <c r="G12" s="620" t="s">
        <v>15</v>
      </c>
      <c r="H12" s="843">
        <v>5.1790009905193155E-2</v>
      </c>
      <c r="I12" s="741"/>
      <c r="J12" s="946">
        <v>6</v>
      </c>
      <c r="K12" s="950" t="s">
        <v>172</v>
      </c>
      <c r="L12" s="951" t="s">
        <v>5</v>
      </c>
      <c r="M12" s="952">
        <v>-3607605.9031397123</v>
      </c>
    </row>
    <row r="13" spans="1:13" ht="14">
      <c r="A13" s="614" t="s">
        <v>70</v>
      </c>
      <c r="B13" s="615"/>
      <c r="C13" s="938">
        <v>6</v>
      </c>
      <c r="D13" s="620" t="s">
        <v>5</v>
      </c>
      <c r="E13" s="841">
        <v>125328.28919999991</v>
      </c>
      <c r="F13" s="940" t="s">
        <v>183</v>
      </c>
      <c r="G13" s="620" t="s">
        <v>19</v>
      </c>
      <c r="H13" s="843">
        <v>4.712041884816754E-2</v>
      </c>
      <c r="I13" s="741"/>
      <c r="J13" s="946">
        <v>10</v>
      </c>
      <c r="K13" s="950" t="s">
        <v>172</v>
      </c>
      <c r="L13" s="951" t="s">
        <v>6</v>
      </c>
      <c r="M13" s="952">
        <v>-1130372.9836937934</v>
      </c>
    </row>
    <row r="14" spans="1:13" ht="15" thickBot="1">
      <c r="A14" s="616" t="s">
        <v>50</v>
      </c>
      <c r="B14" s="617">
        <f>ROUND('Sheet 2 Gross &amp; Net Costs'!K12/'Sheet 2 Gross &amp; Net Costs'!K41*Parameters!B9,-2)</f>
        <v>12687300</v>
      </c>
      <c r="C14" s="938">
        <v>7</v>
      </c>
      <c r="D14" s="620" t="s">
        <v>38</v>
      </c>
      <c r="E14" s="841">
        <v>13932.855299999999</v>
      </c>
      <c r="F14" s="941">
        <f>ROUND('Sheet 2 Gross &amp; Net Costs'!E12/'Sheet 2 Gross &amp; Net Costs'!E41*F12,-2)</f>
        <v>66817600</v>
      </c>
      <c r="G14" s="621" t="s">
        <v>105</v>
      </c>
      <c r="H14" s="828">
        <f>SUM(H8:H13)</f>
        <v>1</v>
      </c>
      <c r="I14" s="741"/>
      <c r="J14" s="946">
        <v>7</v>
      </c>
      <c r="K14" s="950" t="s">
        <v>172</v>
      </c>
      <c r="L14" s="951" t="s">
        <v>38</v>
      </c>
      <c r="M14" s="952">
        <v>0</v>
      </c>
    </row>
    <row r="15" spans="1:13" ht="14">
      <c r="A15" s="616" t="s">
        <v>51</v>
      </c>
      <c r="B15" s="617">
        <f>B9-B14</f>
        <v>80762045.00000003</v>
      </c>
      <c r="C15" s="938">
        <v>8</v>
      </c>
      <c r="D15" s="620" t="s">
        <v>23</v>
      </c>
      <c r="E15" s="841">
        <v>25175.805979999994</v>
      </c>
      <c r="F15" s="943">
        <f>F12-F14</f>
        <v>221885859.45274431</v>
      </c>
      <c r="I15" s="741"/>
      <c r="J15" s="946">
        <v>8</v>
      </c>
      <c r="K15" s="950" t="s">
        <v>172</v>
      </c>
      <c r="L15" s="951" t="s">
        <v>23</v>
      </c>
      <c r="M15" s="952">
        <v>0</v>
      </c>
    </row>
    <row r="16" spans="1:13" ht="14">
      <c r="A16" s="616"/>
      <c r="B16" s="617"/>
      <c r="C16" s="938">
        <v>9</v>
      </c>
      <c r="D16" s="620" t="s">
        <v>8</v>
      </c>
      <c r="E16" s="841">
        <v>6040.6658999999972</v>
      </c>
      <c r="F16" s="942">
        <f>SUM(F14:F15)</f>
        <v>288703459.45274431</v>
      </c>
      <c r="I16" s="741"/>
      <c r="J16" s="946">
        <v>9</v>
      </c>
      <c r="K16" s="950" t="s">
        <v>172</v>
      </c>
      <c r="L16" s="951" t="s">
        <v>8</v>
      </c>
      <c r="M16" s="952">
        <v>0</v>
      </c>
    </row>
    <row r="17" spans="1:13" ht="14">
      <c r="A17" s="614" t="s">
        <v>158</v>
      </c>
      <c r="B17" s="617"/>
      <c r="C17" s="938">
        <v>10</v>
      </c>
      <c r="D17" s="620" t="s">
        <v>6</v>
      </c>
      <c r="E17" s="841">
        <v>147393.07611000005</v>
      </c>
      <c r="G17" s="850"/>
      <c r="H17"/>
      <c r="J17" s="946">
        <v>11</v>
      </c>
      <c r="K17" s="950" t="s">
        <v>173</v>
      </c>
      <c r="L17" s="951" t="s">
        <v>10</v>
      </c>
      <c r="M17" s="952">
        <v>0</v>
      </c>
    </row>
    <row r="18" spans="1:13" ht="14">
      <c r="A18" s="768" t="s">
        <v>152</v>
      </c>
      <c r="B18" s="855">
        <v>1025000</v>
      </c>
      <c r="C18" s="938">
        <v>11</v>
      </c>
      <c r="D18" s="620" t="s">
        <v>10</v>
      </c>
      <c r="E18" s="841">
        <v>49567.111100000002</v>
      </c>
      <c r="F18" s="893"/>
      <c r="H18"/>
      <c r="J18" s="946">
        <v>12</v>
      </c>
      <c r="K18" s="950" t="s">
        <v>173</v>
      </c>
      <c r="L18" s="951" t="s">
        <v>11</v>
      </c>
      <c r="M18" s="952">
        <v>0</v>
      </c>
    </row>
    <row r="19" spans="1:13" ht="14">
      <c r="A19" s="616" t="s">
        <v>159</v>
      </c>
      <c r="B19" s="855">
        <v>100000</v>
      </c>
      <c r="C19" s="938">
        <v>12</v>
      </c>
      <c r="D19" s="620" t="s">
        <v>11</v>
      </c>
      <c r="E19" s="841">
        <v>27498.570399999997</v>
      </c>
      <c r="F19" s="893"/>
      <c r="G19" s="850"/>
      <c r="J19" s="946">
        <v>13</v>
      </c>
      <c r="K19" s="950" t="s">
        <v>173</v>
      </c>
      <c r="L19" s="951" t="s">
        <v>12</v>
      </c>
      <c r="M19" s="952">
        <v>0</v>
      </c>
    </row>
    <row r="20" spans="1:13" ht="14">
      <c r="A20" s="616"/>
      <c r="B20" s="617"/>
      <c r="C20" s="938">
        <v>13</v>
      </c>
      <c r="D20" s="620" t="s">
        <v>12</v>
      </c>
      <c r="E20" s="841">
        <v>41356.564199999993</v>
      </c>
      <c r="G20" s="850"/>
      <c r="J20" s="946">
        <v>14</v>
      </c>
      <c r="K20" s="950" t="s">
        <v>173</v>
      </c>
      <c r="L20" s="951" t="s">
        <v>22</v>
      </c>
      <c r="M20" s="952">
        <v>0</v>
      </c>
    </row>
    <row r="21" spans="1:13" ht="14">
      <c r="A21" s="614" t="s">
        <v>160</v>
      </c>
      <c r="B21" s="617"/>
      <c r="C21" s="938">
        <v>14</v>
      </c>
      <c r="D21" s="620" t="s">
        <v>22</v>
      </c>
      <c r="E21" s="841">
        <v>24814.341530000002</v>
      </c>
      <c r="G21" s="850"/>
      <c r="J21" s="946">
        <v>15</v>
      </c>
      <c r="K21" s="950" t="s">
        <v>173</v>
      </c>
      <c r="L21" s="951" t="s">
        <v>13</v>
      </c>
      <c r="M21" s="952">
        <v>0</v>
      </c>
    </row>
    <row r="22" spans="1:13" ht="14">
      <c r="A22" s="616" t="s">
        <v>153</v>
      </c>
      <c r="B22" s="855">
        <v>0</v>
      </c>
      <c r="C22" s="938">
        <v>15</v>
      </c>
      <c r="D22" s="620" t="s">
        <v>13</v>
      </c>
      <c r="E22" s="841">
        <v>14493.591509999991</v>
      </c>
      <c r="G22" s="850"/>
      <c r="J22" s="946">
        <v>16</v>
      </c>
      <c r="K22" s="950" t="s">
        <v>173</v>
      </c>
      <c r="L22" s="951" t="s">
        <v>14</v>
      </c>
      <c r="M22" s="952">
        <v>-1182021.8044800181</v>
      </c>
    </row>
    <row r="23" spans="1:13" ht="14">
      <c r="A23" s="616" t="s">
        <v>155</v>
      </c>
      <c r="B23" s="855">
        <v>0</v>
      </c>
      <c r="C23" s="938">
        <v>16</v>
      </c>
      <c r="D23" s="620" t="s">
        <v>14</v>
      </c>
      <c r="E23" s="841">
        <v>56509.012589999969</v>
      </c>
      <c r="G23" s="850"/>
      <c r="J23" s="946">
        <v>17</v>
      </c>
      <c r="K23" s="950" t="s">
        <v>46</v>
      </c>
      <c r="L23" s="951" t="s">
        <v>63</v>
      </c>
      <c r="M23" s="952">
        <v>0</v>
      </c>
    </row>
    <row r="24" spans="1:13" ht="14">
      <c r="A24" s="616" t="s">
        <v>154</v>
      </c>
      <c r="B24" s="855">
        <v>3000000</v>
      </c>
      <c r="C24" s="938">
        <v>17</v>
      </c>
      <c r="D24" s="620" t="s">
        <v>107</v>
      </c>
      <c r="E24" s="841">
        <v>44544.44190000002</v>
      </c>
      <c r="G24" s="850"/>
      <c r="J24" s="946">
        <v>18</v>
      </c>
      <c r="K24" s="950" t="s">
        <v>46</v>
      </c>
      <c r="L24" s="951" t="s">
        <v>17</v>
      </c>
      <c r="M24" s="952">
        <v>0</v>
      </c>
    </row>
    <row r="25" spans="1:13" ht="14">
      <c r="A25" s="616" t="s">
        <v>164</v>
      </c>
      <c r="B25" s="855">
        <v>520000</v>
      </c>
      <c r="C25" s="938">
        <v>18</v>
      </c>
      <c r="D25" s="620" t="s">
        <v>17</v>
      </c>
      <c r="E25" s="841">
        <v>4301.8067999999994</v>
      </c>
      <c r="G25" s="850"/>
      <c r="J25" s="946">
        <v>19</v>
      </c>
      <c r="K25" s="950" t="s">
        <v>46</v>
      </c>
      <c r="L25" s="951" t="s">
        <v>18</v>
      </c>
      <c r="M25" s="952">
        <v>0</v>
      </c>
    </row>
    <row r="26" spans="1:13" ht="14">
      <c r="A26" s="616" t="s">
        <v>161</v>
      </c>
      <c r="B26" s="855">
        <v>250000</v>
      </c>
      <c r="C26" s="938">
        <v>19</v>
      </c>
      <c r="D26" s="620" t="s">
        <v>18</v>
      </c>
      <c r="E26" s="841">
        <v>5334.5384000000004</v>
      </c>
      <c r="G26" s="850"/>
      <c r="J26" s="945">
        <v>20</v>
      </c>
      <c r="K26" s="950" t="s">
        <v>15</v>
      </c>
      <c r="L26" s="951" t="s">
        <v>94</v>
      </c>
      <c r="M26" s="952">
        <v>0</v>
      </c>
    </row>
    <row r="27" spans="1:13" ht="14">
      <c r="A27" s="616"/>
      <c r="B27" s="617"/>
      <c r="C27" s="938">
        <v>20</v>
      </c>
      <c r="D27" s="620" t="s">
        <v>94</v>
      </c>
      <c r="E27" s="841">
        <v>24391.8652</v>
      </c>
      <c r="G27" s="850"/>
      <c r="J27" s="945">
        <v>21</v>
      </c>
      <c r="K27" s="950" t="s">
        <v>15</v>
      </c>
      <c r="L27" s="951" t="s">
        <v>95</v>
      </c>
      <c r="M27" s="952">
        <v>0</v>
      </c>
    </row>
    <row r="28" spans="1:13" ht="14">
      <c r="A28" s="614" t="s">
        <v>149</v>
      </c>
      <c r="B28" s="617"/>
      <c r="C28" s="938">
        <v>21</v>
      </c>
      <c r="D28" s="620" t="s">
        <v>95</v>
      </c>
      <c r="E28" s="841">
        <v>3483.9550000000008</v>
      </c>
      <c r="G28" s="850"/>
      <c r="J28" s="945">
        <v>22</v>
      </c>
      <c r="K28" s="950" t="s">
        <v>19</v>
      </c>
      <c r="L28" s="951" t="s">
        <v>20</v>
      </c>
      <c r="M28" s="952">
        <v>0</v>
      </c>
    </row>
    <row r="29" spans="1:13" ht="14">
      <c r="A29" s="616" t="s">
        <v>162</v>
      </c>
      <c r="B29" s="1032">
        <v>3750000</v>
      </c>
      <c r="C29" s="938">
        <v>22</v>
      </c>
      <c r="D29" s="620" t="s">
        <v>20</v>
      </c>
      <c r="E29" s="841">
        <v>84462.352700000003</v>
      </c>
      <c r="G29" s="850"/>
      <c r="J29" s="945">
        <v>23</v>
      </c>
      <c r="K29" s="950" t="s">
        <v>19</v>
      </c>
      <c r="L29" s="951" t="s">
        <v>21</v>
      </c>
      <c r="M29" s="952">
        <v>0</v>
      </c>
    </row>
    <row r="30" spans="1:13" ht="15" thickBot="1">
      <c r="A30" s="616" t="s">
        <v>150</v>
      </c>
      <c r="B30" s="1032"/>
      <c r="C30" s="938">
        <v>23</v>
      </c>
      <c r="D30" s="621" t="s">
        <v>21</v>
      </c>
      <c r="E30" s="842">
        <v>26215.349600000001</v>
      </c>
      <c r="G30" s="850"/>
      <c r="J30" s="940"/>
      <c r="K30" s="953"/>
      <c r="L30" s="954" t="s">
        <v>25</v>
      </c>
      <c r="M30" s="955">
        <f>+SUM(M7:M29)</f>
        <v>-5920000.6913135238</v>
      </c>
    </row>
    <row r="31" spans="1:13">
      <c r="A31" s="616" t="s">
        <v>163</v>
      </c>
      <c r="B31" s="1032"/>
      <c r="E31" s="944">
        <f>SUM(E8:E30)</f>
        <v>1179280.4979199998</v>
      </c>
      <c r="G31" s="850"/>
    </row>
    <row r="32" spans="1:13">
      <c r="A32" s="616"/>
      <c r="B32" s="617"/>
      <c r="C32" s="813"/>
      <c r="D32" s="343"/>
      <c r="E32" s="818"/>
      <c r="G32" s="850"/>
    </row>
    <row r="33" spans="1:8">
      <c r="A33" s="614" t="s">
        <v>59</v>
      </c>
      <c r="B33" s="617"/>
      <c r="C33" s="813"/>
      <c r="D33"/>
      <c r="E33"/>
      <c r="F33"/>
      <c r="G33" s="850"/>
    </row>
    <row r="34" spans="1:8">
      <c r="A34" s="616" t="s">
        <v>151</v>
      </c>
      <c r="B34" s="855">
        <v>130000</v>
      </c>
      <c r="D34"/>
      <c r="G34" s="850"/>
    </row>
    <row r="35" spans="1:8">
      <c r="A35" s="616"/>
      <c r="B35" s="617"/>
      <c r="D35"/>
      <c r="G35" s="850"/>
    </row>
    <row r="36" spans="1:8">
      <c r="A36" s="614" t="s">
        <v>176</v>
      </c>
      <c r="B36" s="855">
        <v>350000</v>
      </c>
      <c r="D36"/>
      <c r="G36" s="850"/>
    </row>
    <row r="37" spans="1:8">
      <c r="A37" s="616"/>
      <c r="B37" s="617"/>
      <c r="D37"/>
      <c r="G37" s="850"/>
    </row>
    <row r="38" spans="1:8" ht="13" thickBot="1">
      <c r="A38" s="936" t="s">
        <v>25</v>
      </c>
      <c r="B38" s="937">
        <f>B18+B19+B24+B25+B26+B29+B34+B23+B22+B36</f>
        <v>9125000</v>
      </c>
      <c r="D38"/>
      <c r="G38" s="850"/>
    </row>
    <row r="39" spans="1:8">
      <c r="D39"/>
    </row>
    <row r="40" spans="1:8">
      <c r="D40"/>
    </row>
    <row r="41" spans="1:8">
      <c r="D41"/>
    </row>
    <row r="42" spans="1:8">
      <c r="D42"/>
      <c r="H42"/>
    </row>
    <row r="43" spans="1:8">
      <c r="D43"/>
    </row>
    <row r="70" spans="4:7">
      <c r="D70"/>
    </row>
    <row r="71" spans="4:7">
      <c r="D71"/>
    </row>
    <row r="72" spans="4:7">
      <c r="D72"/>
      <c r="E72"/>
      <c r="F72"/>
      <c r="G72"/>
    </row>
    <row r="73" spans="4:7">
      <c r="D73"/>
      <c r="E73"/>
      <c r="F73"/>
      <c r="G73"/>
    </row>
    <row r="74" spans="4:7">
      <c r="D74"/>
      <c r="E74"/>
      <c r="F74"/>
      <c r="G74"/>
    </row>
  </sheetData>
  <sheetProtection password="D6C3" sheet="1" selectLockedCells="1"/>
  <mergeCells count="3">
    <mergeCell ref="G6:H6"/>
    <mergeCell ref="A3:H3"/>
    <mergeCell ref="B29:B31"/>
  </mergeCells>
  <phoneticPr fontId="0" type="noConversion"/>
  <pageMargins left="0.75" right="0.75" top="1" bottom="1" header="0.5" footer="0.5"/>
  <pageSetup scale="50" orientation="landscape"/>
  <headerFooter alignWithMargins="0">
    <oddFooter>&amp;L&amp;12Steward Fee Setting Methodology&amp;R&amp;12Stewardship Ontario, 
August 24, 2009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J43"/>
  <sheetViews>
    <sheetView showGridLines="0" zoomScale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/>
    </sheetView>
  </sheetViews>
  <sheetFormatPr baseColWidth="10" defaultColWidth="8.83203125" defaultRowHeight="12" x14ac:dyDescent="0"/>
  <cols>
    <col min="1" max="1" width="36.5" style="2" customWidth="1"/>
    <col min="2" max="3" width="12.5" style="2" customWidth="1"/>
    <col min="4" max="4" width="12.5" style="288" customWidth="1"/>
    <col min="5" max="5" width="13.6640625" style="2" customWidth="1"/>
    <col min="6" max="6" width="15.33203125" style="2" customWidth="1"/>
    <col min="7" max="7" width="9" style="2" customWidth="1"/>
    <col min="8" max="8" width="6.83203125" style="2" customWidth="1"/>
    <col min="9" max="9" width="14.1640625" style="2" customWidth="1"/>
    <col min="10" max="10" width="12.5" style="2" bestFit="1" customWidth="1"/>
    <col min="11" max="16384" width="8.83203125" style="2"/>
  </cols>
  <sheetData>
    <row r="1" spans="1:10" ht="23">
      <c r="A1" s="412" t="s">
        <v>106</v>
      </c>
      <c r="E1" s="100"/>
      <c r="F1" s="100"/>
    </row>
    <row r="2" spans="1:10" ht="16" thickBot="1">
      <c r="A2" s="558"/>
    </row>
    <row r="3" spans="1:10" ht="15">
      <c r="A3" s="557" t="s">
        <v>126</v>
      </c>
      <c r="B3" s="619" t="s">
        <v>104</v>
      </c>
    </row>
    <row r="4" spans="1:10" ht="15">
      <c r="A4" s="620" t="s">
        <v>100</v>
      </c>
      <c r="B4" s="859">
        <v>35</v>
      </c>
      <c r="C4" s="558"/>
    </row>
    <row r="5" spans="1:10">
      <c r="A5" s="620" t="s">
        <v>101</v>
      </c>
      <c r="B5" s="859">
        <v>40</v>
      </c>
    </row>
    <row r="6" spans="1:10">
      <c r="A6" s="620" t="s">
        <v>102</v>
      </c>
      <c r="B6" s="859">
        <v>25</v>
      </c>
    </row>
    <row r="7" spans="1:10" ht="13" thickBot="1">
      <c r="A7" s="621" t="s">
        <v>103</v>
      </c>
      <c r="B7" s="860">
        <v>60</v>
      </c>
    </row>
    <row r="8" spans="1:10">
      <c r="A8" s="5"/>
      <c r="B8" s="747"/>
    </row>
    <row r="9" spans="1:10" ht="13" thickBot="1">
      <c r="G9" s="285"/>
      <c r="H9" s="285"/>
      <c r="I9" s="5"/>
    </row>
    <row r="10" spans="1:10" ht="47.25" customHeight="1">
      <c r="A10" s="792" t="s">
        <v>27</v>
      </c>
      <c r="B10" s="1033" t="s">
        <v>166</v>
      </c>
      <c r="C10" s="1034"/>
      <c r="D10" s="794"/>
      <c r="E10" s="1035" t="s">
        <v>167</v>
      </c>
      <c r="F10" s="1036"/>
      <c r="G10" s="285"/>
      <c r="H10" s="285"/>
      <c r="I10" s="741"/>
    </row>
    <row r="11" spans="1:10" s="297" customFormat="1" ht="24">
      <c r="A11" s="793"/>
      <c r="B11" s="790" t="s">
        <v>156</v>
      </c>
      <c r="C11" s="718" t="s">
        <v>157</v>
      </c>
      <c r="D11" s="713"/>
      <c r="E11" s="714" t="s">
        <v>192</v>
      </c>
      <c r="F11" s="718" t="s">
        <v>114</v>
      </c>
      <c r="G11" s="623"/>
      <c r="H11" s="623"/>
    </row>
    <row r="12" spans="1:10">
      <c r="A12" s="627"/>
      <c r="B12" s="791" t="s">
        <v>68</v>
      </c>
      <c r="C12" s="106" t="s">
        <v>68</v>
      </c>
      <c r="D12" s="9"/>
      <c r="E12" s="715" t="s">
        <v>29</v>
      </c>
      <c r="F12" s="106" t="s">
        <v>29</v>
      </c>
      <c r="G12" s="285"/>
      <c r="H12" s="815"/>
      <c r="I12" s="5"/>
      <c r="J12" s="5"/>
    </row>
    <row r="13" spans="1:10">
      <c r="A13" s="620" t="s">
        <v>96</v>
      </c>
      <c r="B13" s="836">
        <v>212787.8</v>
      </c>
      <c r="C13" s="837">
        <v>206751.73636171196</v>
      </c>
      <c r="D13" s="795"/>
      <c r="E13" s="838">
        <v>134.17017893629034</v>
      </c>
      <c r="F13" s="839">
        <v>87.517175107283961</v>
      </c>
      <c r="G13" s="285"/>
      <c r="H13" s="956">
        <v>1</v>
      </c>
      <c r="I13" s="846"/>
      <c r="J13" s="816"/>
    </row>
    <row r="14" spans="1:10">
      <c r="A14" s="620" t="s">
        <v>74</v>
      </c>
      <c r="B14" s="836">
        <v>117427.86</v>
      </c>
      <c r="C14" s="837">
        <v>114096.83239471447</v>
      </c>
      <c r="D14" s="795"/>
      <c r="E14" s="840">
        <v>134.17017893629034</v>
      </c>
      <c r="F14" s="839">
        <v>87.517175107283961</v>
      </c>
      <c r="G14" s="285"/>
      <c r="H14" s="956">
        <v>2</v>
      </c>
      <c r="I14" s="846"/>
      <c r="J14" s="816"/>
    </row>
    <row r="15" spans="1:10">
      <c r="A15" s="620" t="s">
        <v>3</v>
      </c>
      <c r="B15" s="836">
        <v>83017.45</v>
      </c>
      <c r="C15" s="837">
        <v>80662.528283207997</v>
      </c>
      <c r="D15" s="795"/>
      <c r="E15" s="840">
        <v>134.17017893629034</v>
      </c>
      <c r="F15" s="839">
        <v>87.517175107283961</v>
      </c>
      <c r="G15" s="285"/>
      <c r="H15" s="956">
        <v>3</v>
      </c>
      <c r="I15" s="846"/>
      <c r="J15" s="819"/>
    </row>
    <row r="16" spans="1:10">
      <c r="A16" s="620" t="s">
        <v>1</v>
      </c>
      <c r="B16" s="836">
        <v>10389</v>
      </c>
      <c r="C16" s="837">
        <v>10094.299527801057</v>
      </c>
      <c r="D16" s="795"/>
      <c r="E16" s="840">
        <v>268.19904544031499</v>
      </c>
      <c r="F16" s="839">
        <v>82.199532244756981</v>
      </c>
      <c r="G16" s="845"/>
      <c r="H16" s="956">
        <v>4</v>
      </c>
      <c r="I16" s="846"/>
      <c r="J16" s="819"/>
    </row>
    <row r="17" spans="1:10">
      <c r="A17" s="620" t="s">
        <v>2</v>
      </c>
      <c r="B17" s="836">
        <v>114030.72</v>
      </c>
      <c r="C17" s="837">
        <v>63363.966785561934</v>
      </c>
      <c r="D17" s="795"/>
      <c r="E17" s="840">
        <v>161.59841020727407</v>
      </c>
      <c r="F17" s="839">
        <v>86.393248298732004</v>
      </c>
      <c r="G17" s="285"/>
      <c r="H17" s="956">
        <v>5</v>
      </c>
      <c r="I17" s="846"/>
      <c r="J17" s="819"/>
    </row>
    <row r="18" spans="1:10">
      <c r="A18" s="620"/>
      <c r="B18" s="836"/>
      <c r="C18" s="837"/>
      <c r="D18" s="795"/>
      <c r="E18" s="840"/>
      <c r="F18" s="839"/>
      <c r="G18" s="285"/>
      <c r="H18" s="956"/>
      <c r="I18" s="846"/>
      <c r="J18" s="819"/>
    </row>
    <row r="19" spans="1:10">
      <c r="A19" s="620" t="s">
        <v>5</v>
      </c>
      <c r="B19" s="836">
        <v>171666</v>
      </c>
      <c r="C19" s="837">
        <v>149770.91598241351</v>
      </c>
      <c r="D19" s="795"/>
      <c r="E19" s="840">
        <v>510.81208080323353</v>
      </c>
      <c r="F19" s="839">
        <v>94.483601885016057</v>
      </c>
      <c r="G19" s="826"/>
      <c r="H19" s="956">
        <v>6</v>
      </c>
      <c r="I19" s="846"/>
      <c r="J19" s="819"/>
    </row>
    <row r="20" spans="1:10">
      <c r="A20" s="620" t="s">
        <v>38</v>
      </c>
      <c r="B20" s="836">
        <v>14198.859999999999</v>
      </c>
      <c r="C20" s="837">
        <v>4850.3883410829485</v>
      </c>
      <c r="D20" s="795"/>
      <c r="E20" s="840">
        <v>1065.3837854375424</v>
      </c>
      <c r="F20" s="839">
        <v>72.854949076246356</v>
      </c>
      <c r="G20" s="285"/>
      <c r="H20" s="956">
        <v>7</v>
      </c>
      <c r="I20" s="846"/>
      <c r="J20" s="819"/>
    </row>
    <row r="21" spans="1:10">
      <c r="A21" s="620" t="s">
        <v>23</v>
      </c>
      <c r="B21" s="836">
        <v>40429.200000000004</v>
      </c>
      <c r="C21" s="837">
        <v>400.89684641644141</v>
      </c>
      <c r="D21" s="795"/>
      <c r="E21" s="840">
        <v>842.25332212922933</v>
      </c>
      <c r="F21" s="839">
        <v>0</v>
      </c>
      <c r="G21" s="285"/>
      <c r="H21" s="956">
        <v>8</v>
      </c>
      <c r="I21" s="846"/>
      <c r="J21" s="819"/>
    </row>
    <row r="22" spans="1:10">
      <c r="A22" s="620" t="s">
        <v>8</v>
      </c>
      <c r="B22" s="836">
        <v>4245.28</v>
      </c>
      <c r="C22" s="837">
        <v>502.63927269698121</v>
      </c>
      <c r="D22" s="795"/>
      <c r="E22" s="840">
        <v>842.25332212922933</v>
      </c>
      <c r="F22" s="839">
        <v>76.269194110264507</v>
      </c>
      <c r="G22" s="285"/>
      <c r="H22" s="956">
        <v>9</v>
      </c>
      <c r="I22" s="846"/>
      <c r="J22" s="819"/>
    </row>
    <row r="23" spans="1:10">
      <c r="A23" s="620" t="s">
        <v>6</v>
      </c>
      <c r="B23" s="836">
        <v>128547.75</v>
      </c>
      <c r="C23" s="837">
        <v>70976.675598618676</v>
      </c>
      <c r="D23" s="795"/>
      <c r="E23" s="840">
        <v>307.65714222317115</v>
      </c>
      <c r="F23" s="839">
        <v>77.32474304488143</v>
      </c>
      <c r="G23" s="285"/>
      <c r="H23" s="956">
        <v>10</v>
      </c>
      <c r="I23" s="846"/>
      <c r="J23" s="819"/>
    </row>
    <row r="24" spans="1:10">
      <c r="A24" s="620"/>
      <c r="B24" s="836"/>
      <c r="C24" s="837"/>
      <c r="D24" s="795"/>
      <c r="E24" s="840"/>
      <c r="F24" s="839"/>
      <c r="G24" s="285"/>
      <c r="H24" s="956"/>
      <c r="I24" s="846"/>
      <c r="J24" s="819"/>
    </row>
    <row r="25" spans="1:10">
      <c r="A25" s="620" t="s">
        <v>10</v>
      </c>
      <c r="B25" s="836">
        <v>46335.12</v>
      </c>
      <c r="C25" s="837">
        <v>28216.54797929493</v>
      </c>
      <c r="D25" s="795"/>
      <c r="E25" s="840">
        <v>1371.0661568105209</v>
      </c>
      <c r="F25" s="839">
        <v>282.46805565055996</v>
      </c>
      <c r="G25" s="285"/>
      <c r="H25" s="956">
        <v>11</v>
      </c>
      <c r="I25" s="846"/>
      <c r="J25" s="819"/>
    </row>
    <row r="26" spans="1:10">
      <c r="A26" s="620" t="s">
        <v>11</v>
      </c>
      <c r="B26" s="836">
        <v>27347.530000000002</v>
      </c>
      <c r="C26" s="837">
        <v>15469.677230451909</v>
      </c>
      <c r="D26" s="795"/>
      <c r="E26" s="840">
        <v>1215.7083813999297</v>
      </c>
      <c r="F26" s="839">
        <v>427.27380424283422</v>
      </c>
      <c r="G26" s="285"/>
      <c r="H26" s="956">
        <v>12</v>
      </c>
      <c r="I26" s="846"/>
      <c r="J26" s="819"/>
    </row>
    <row r="27" spans="1:10">
      <c r="A27" s="620" t="s">
        <v>12</v>
      </c>
      <c r="B27" s="836">
        <v>48786.68</v>
      </c>
      <c r="C27" s="837">
        <v>3122.627862919835</v>
      </c>
      <c r="D27" s="795"/>
      <c r="E27" s="840">
        <v>2043.9229371712897</v>
      </c>
      <c r="F27" s="839">
        <v>26.444436328038638</v>
      </c>
      <c r="G27" s="285"/>
      <c r="H27" s="956">
        <v>13</v>
      </c>
      <c r="I27" s="846"/>
      <c r="J27" s="819"/>
    </row>
    <row r="28" spans="1:10">
      <c r="A28" s="620" t="s">
        <v>22</v>
      </c>
      <c r="B28" s="836">
        <v>33609.68</v>
      </c>
      <c r="C28" s="837">
        <v>336.09680000000003</v>
      </c>
      <c r="D28" s="795"/>
      <c r="E28" s="840">
        <v>2043.9229371712897</v>
      </c>
      <c r="F28" s="839">
        <v>0</v>
      </c>
      <c r="G28" s="285"/>
      <c r="H28" s="956">
        <v>14</v>
      </c>
      <c r="I28" s="846"/>
      <c r="J28" s="819"/>
    </row>
    <row r="29" spans="1:10" ht="12" customHeight="1">
      <c r="A29" s="620" t="s">
        <v>13</v>
      </c>
      <c r="B29" s="836">
        <v>21195.600000000002</v>
      </c>
      <c r="C29" s="837">
        <v>822.85912660232339</v>
      </c>
      <c r="D29" s="795"/>
      <c r="E29" s="840">
        <v>2463.7349313071422</v>
      </c>
      <c r="F29" s="839">
        <v>79.433320911061017</v>
      </c>
      <c r="G29" s="285"/>
      <c r="H29" s="956">
        <v>15</v>
      </c>
      <c r="I29" s="846"/>
      <c r="J29" s="819"/>
    </row>
    <row r="30" spans="1:10" ht="12" customHeight="1">
      <c r="A30" s="620" t="s">
        <v>14</v>
      </c>
      <c r="B30" s="836">
        <v>55571.519999999997</v>
      </c>
      <c r="C30" s="837">
        <v>10653.037281600642</v>
      </c>
      <c r="D30" s="795"/>
      <c r="E30" s="840">
        <v>1321.9843853454197</v>
      </c>
      <c r="F30" s="839">
        <v>105.55225405697701</v>
      </c>
      <c r="G30" s="285"/>
      <c r="H30" s="956">
        <v>16</v>
      </c>
      <c r="I30" s="846"/>
      <c r="J30" s="819"/>
    </row>
    <row r="31" spans="1:10">
      <c r="A31" s="620"/>
      <c r="B31" s="836"/>
      <c r="C31" s="837"/>
      <c r="D31" s="795"/>
      <c r="E31" s="840"/>
      <c r="F31" s="839"/>
      <c r="G31" s="285"/>
      <c r="H31" s="956"/>
      <c r="I31" s="846"/>
      <c r="J31" s="819"/>
    </row>
    <row r="32" spans="1:10">
      <c r="A32" s="620" t="s">
        <v>107</v>
      </c>
      <c r="B32" s="836">
        <v>47716.44</v>
      </c>
      <c r="C32" s="837">
        <v>29134.450023494323</v>
      </c>
      <c r="D32" s="795"/>
      <c r="E32" s="840">
        <v>330.12608850228207</v>
      </c>
      <c r="F32" s="839">
        <v>189.54216719398431</v>
      </c>
      <c r="G32" s="285"/>
      <c r="H32" s="956">
        <v>17</v>
      </c>
      <c r="I32" s="846"/>
      <c r="J32" s="819"/>
    </row>
    <row r="33" spans="1:10">
      <c r="A33" s="620" t="s">
        <v>108</v>
      </c>
      <c r="B33" s="836">
        <v>4213.72</v>
      </c>
      <c r="C33" s="837">
        <v>1167.1142312909381</v>
      </c>
      <c r="D33" s="795"/>
      <c r="E33" s="840">
        <v>330.12608850228207</v>
      </c>
      <c r="F33" s="839">
        <v>189.54216719398431</v>
      </c>
      <c r="G33" s="285"/>
      <c r="H33" s="956">
        <v>18</v>
      </c>
      <c r="I33" s="846"/>
      <c r="J33" s="819"/>
    </row>
    <row r="34" spans="1:10">
      <c r="A34" s="620" t="s">
        <v>109</v>
      </c>
      <c r="B34" s="836">
        <v>5166.72</v>
      </c>
      <c r="C34" s="837">
        <v>935.17403201479385</v>
      </c>
      <c r="D34" s="795"/>
      <c r="E34" s="840">
        <v>330.12608850228207</v>
      </c>
      <c r="F34" s="839">
        <v>189.54216719398431</v>
      </c>
      <c r="G34" s="285"/>
      <c r="H34" s="956">
        <v>19</v>
      </c>
      <c r="I34" s="846"/>
      <c r="J34" s="819"/>
    </row>
    <row r="35" spans="1:10">
      <c r="A35" s="620"/>
      <c r="B35" s="836"/>
      <c r="C35" s="837"/>
      <c r="D35" s="795"/>
      <c r="E35" s="840"/>
      <c r="F35" s="839"/>
      <c r="G35" s="285"/>
      <c r="H35" s="956"/>
      <c r="I35" s="846"/>
      <c r="J35" s="819"/>
    </row>
    <row r="36" spans="1:10">
      <c r="A36" s="620" t="s">
        <v>110</v>
      </c>
      <c r="B36" s="836">
        <v>21172.649999999998</v>
      </c>
      <c r="C36" s="837">
        <v>10506.61862749415</v>
      </c>
      <c r="D36" s="795"/>
      <c r="E36" s="840">
        <v>1145.8242913494569</v>
      </c>
      <c r="F36" s="839">
        <v>1438.8573346989369</v>
      </c>
      <c r="G36" s="285"/>
      <c r="H36" s="956">
        <v>20</v>
      </c>
      <c r="I36" s="846"/>
      <c r="J36" s="819"/>
    </row>
    <row r="37" spans="1:10">
      <c r="A37" s="620" t="s">
        <v>95</v>
      </c>
      <c r="B37" s="836">
        <v>3733.6</v>
      </c>
      <c r="C37" s="837">
        <v>336.56005693115003</v>
      </c>
      <c r="D37" s="795"/>
      <c r="E37" s="840">
        <v>1145.8242913494569</v>
      </c>
      <c r="F37" s="839">
        <v>1438.8573346989369</v>
      </c>
      <c r="G37" s="285"/>
      <c r="H37" s="956">
        <v>21</v>
      </c>
      <c r="I37" s="846"/>
      <c r="J37" s="819"/>
    </row>
    <row r="38" spans="1:10">
      <c r="A38" s="620"/>
      <c r="B38" s="836"/>
      <c r="C38" s="837"/>
      <c r="D38" s="795"/>
      <c r="E38" s="840"/>
      <c r="F38" s="839"/>
      <c r="G38" s="285"/>
      <c r="H38" s="956"/>
      <c r="I38" s="846"/>
      <c r="J38" s="819"/>
    </row>
    <row r="39" spans="1:10">
      <c r="A39" s="620" t="s">
        <v>131</v>
      </c>
      <c r="B39" s="836">
        <v>76291.199999999997</v>
      </c>
      <c r="C39" s="837">
        <v>67826.721330410612</v>
      </c>
      <c r="D39" s="796"/>
      <c r="E39" s="840">
        <v>174.52612182178314</v>
      </c>
      <c r="F39" s="839">
        <v>35.789621111165083</v>
      </c>
      <c r="G39" s="285"/>
      <c r="H39" s="956">
        <v>22</v>
      </c>
      <c r="I39" s="846"/>
      <c r="J39" s="816"/>
    </row>
    <row r="40" spans="1:10">
      <c r="A40" s="620" t="s">
        <v>64</v>
      </c>
      <c r="B40" s="836">
        <v>24468.760000000002</v>
      </c>
      <c r="C40" s="837">
        <v>17243.843591268549</v>
      </c>
      <c r="D40" s="796"/>
      <c r="E40" s="840">
        <v>137.37500365023001</v>
      </c>
      <c r="F40" s="839">
        <v>30.643777137711172</v>
      </c>
      <c r="G40" s="285"/>
      <c r="H40" s="956">
        <v>23</v>
      </c>
      <c r="I40" s="846"/>
      <c r="J40" s="816"/>
    </row>
    <row r="41" spans="1:10">
      <c r="A41" s="620"/>
      <c r="B41" s="811"/>
      <c r="C41" s="801"/>
      <c r="E41" s="716"/>
      <c r="F41" s="749"/>
      <c r="G41" s="285"/>
      <c r="H41" s="957"/>
      <c r="I41" s="5"/>
      <c r="J41" s="5"/>
    </row>
    <row r="42" spans="1:10" ht="13" thickBot="1">
      <c r="A42" s="621" t="s">
        <v>25</v>
      </c>
      <c r="B42" s="861">
        <f>+SUM(B13:B40)</f>
        <v>1312349.1399999999</v>
      </c>
      <c r="C42" s="862">
        <f>+SUM(C13:C40)</f>
        <v>887242.2075680003</v>
      </c>
      <c r="E42" s="717"/>
      <c r="F42" s="625"/>
      <c r="G42" s="285"/>
      <c r="H42" s="940"/>
    </row>
    <row r="43" spans="1:10">
      <c r="G43" s="285"/>
      <c r="H43" s="285"/>
    </row>
  </sheetData>
  <sheetProtection password="D6C3" sheet="1" selectLockedCells="1"/>
  <mergeCells count="2">
    <mergeCell ref="B10:C10"/>
    <mergeCell ref="E10:F10"/>
  </mergeCells>
  <phoneticPr fontId="0" type="noConversion"/>
  <pageMargins left="0.75" right="0.75" top="1" bottom="1" header="0.5" footer="0.5"/>
  <pageSetup scale="79" orientation="landscape"/>
  <headerFooter alignWithMargins="0">
    <oddFooter>&amp;L&amp;12Steward Fee Setting Methodology&amp;R&amp;12Stewardship Ontario, 
August 24, 2009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58"/>
    <pageSetUpPr fitToPage="1"/>
  </sheetPr>
  <dimension ref="A1:O100"/>
  <sheetViews>
    <sheetView showGridLines="0" zoomScale="85" zoomScaleNormal="85" zoomScalePageLayoutView="85" workbookViewId="0">
      <pane xSplit="2" ySplit="5" topLeftCell="C6" activePane="bottomRight" state="frozen"/>
      <selection activeCell="B14" sqref="B14"/>
      <selection pane="topRight" activeCell="B14" sqref="B14"/>
      <selection pane="bottomLeft" activeCell="B14" sqref="B14"/>
      <selection pane="bottomRight" activeCell="C6" sqref="C6"/>
    </sheetView>
  </sheetViews>
  <sheetFormatPr baseColWidth="10" defaultColWidth="8.83203125" defaultRowHeight="12" x14ac:dyDescent="0"/>
  <cols>
    <col min="1" max="1" width="23" style="2" customWidth="1"/>
    <col min="2" max="2" width="26.5" style="2" bestFit="1" customWidth="1"/>
    <col min="3" max="3" width="11.83203125" style="342" customWidth="1"/>
    <col min="4" max="4" width="10.5" style="342" customWidth="1"/>
    <col min="5" max="5" width="10.5" style="2" customWidth="1"/>
    <col min="6" max="6" width="9.83203125" style="98" customWidth="1"/>
    <col min="7" max="7" width="1.5" style="2" customWidth="1"/>
    <col min="8" max="8" width="11.83203125" style="340" customWidth="1"/>
    <col min="9" max="9" width="10.5" style="98" customWidth="1"/>
    <col min="10" max="10" width="8.1640625" style="98" customWidth="1"/>
    <col min="11" max="11" width="8.83203125" style="2"/>
    <col min="12" max="12" width="13.6640625" style="2" bestFit="1" customWidth="1"/>
    <col min="13" max="13" width="8.5" style="340" customWidth="1"/>
    <col min="14" max="14" width="7.6640625" style="340" customWidth="1"/>
    <col min="15" max="15" width="9.33203125" style="2" customWidth="1"/>
    <col min="16" max="16384" width="8.83203125" style="2"/>
  </cols>
  <sheetData>
    <row r="1" spans="1:15" ht="25.5" customHeight="1">
      <c r="A1" s="412" t="s">
        <v>75</v>
      </c>
      <c r="C1" s="1"/>
      <c r="D1" s="1"/>
      <c r="E1" s="1"/>
      <c r="F1" s="1"/>
      <c r="H1" s="285"/>
      <c r="M1" s="285"/>
      <c r="N1" s="285"/>
    </row>
    <row r="2" spans="1:15" ht="16.5" customHeight="1" thickBot="1">
      <c r="A2" s="1037"/>
      <c r="B2" s="1037"/>
      <c r="C2" s="1037"/>
      <c r="D2" s="1037"/>
      <c r="E2" s="1037"/>
      <c r="F2" s="1037"/>
      <c r="G2" s="1037"/>
      <c r="H2" s="1037"/>
      <c r="I2" s="1037"/>
      <c r="J2" s="286"/>
      <c r="L2" s="281"/>
      <c r="M2" s="285"/>
      <c r="N2" s="285"/>
    </row>
    <row r="3" spans="1:15">
      <c r="A3" s="287"/>
      <c r="B3" s="418"/>
      <c r="C3" s="1038">
        <v>2010</v>
      </c>
      <c r="D3" s="1039"/>
      <c r="E3" s="1039"/>
      <c r="F3" s="1039"/>
      <c r="G3" s="1039"/>
      <c r="H3" s="1039"/>
      <c r="I3" s="1040"/>
      <c r="J3" s="9"/>
      <c r="K3" s="426" t="s">
        <v>125</v>
      </c>
      <c r="L3" s="427"/>
      <c r="M3" s="576"/>
      <c r="N3" s="576"/>
      <c r="O3" s="428"/>
    </row>
    <row r="4" spans="1:15" s="297" customFormat="1" ht="24">
      <c r="A4" s="289" t="s">
        <v>31</v>
      </c>
      <c r="B4" s="290" t="s">
        <v>27</v>
      </c>
      <c r="C4" s="291" t="s">
        <v>73</v>
      </c>
      <c r="D4" s="291" t="s">
        <v>78</v>
      </c>
      <c r="E4" s="292" t="s">
        <v>79</v>
      </c>
      <c r="F4" s="293" t="s">
        <v>40</v>
      </c>
      <c r="G4" s="293"/>
      <c r="H4" s="294" t="s">
        <v>80</v>
      </c>
      <c r="I4" s="295" t="s">
        <v>81</v>
      </c>
      <c r="J4" s="296"/>
      <c r="K4" s="429" t="s">
        <v>60</v>
      </c>
      <c r="L4" s="424" t="s">
        <v>61</v>
      </c>
      <c r="M4" s="1042" t="s">
        <v>98</v>
      </c>
      <c r="N4" s="1043"/>
      <c r="O4" s="1044"/>
    </row>
    <row r="5" spans="1:15" ht="12.75" customHeight="1">
      <c r="A5" s="104"/>
      <c r="B5" s="298"/>
      <c r="C5" s="299" t="s">
        <v>68</v>
      </c>
      <c r="D5" s="105"/>
      <c r="E5" s="299" t="s">
        <v>68</v>
      </c>
      <c r="F5" s="300"/>
      <c r="G5" s="301"/>
      <c r="H5" s="299" t="s">
        <v>68</v>
      </c>
      <c r="I5" s="106"/>
      <c r="J5" s="9"/>
      <c r="K5" s="430" t="s">
        <v>66</v>
      </c>
      <c r="L5" s="305" t="s">
        <v>65</v>
      </c>
      <c r="M5" s="577"/>
      <c r="N5" s="578"/>
      <c r="O5" s="555"/>
    </row>
    <row r="6" spans="1:15" s="3" customFormat="1" ht="15">
      <c r="A6" s="10" t="s">
        <v>44</v>
      </c>
      <c r="B6" s="11"/>
      <c r="C6" s="13"/>
      <c r="D6" s="12"/>
      <c r="E6" s="14"/>
      <c r="F6" s="302"/>
      <c r="G6" s="302"/>
      <c r="H6" s="303"/>
      <c r="I6" s="304"/>
      <c r="J6" s="276"/>
      <c r="K6" s="118"/>
      <c r="L6" s="4"/>
      <c r="M6" s="579"/>
      <c r="N6" s="579"/>
      <c r="O6" s="431"/>
    </row>
    <row r="7" spans="1:15" s="3" customFormat="1" ht="15" customHeight="1">
      <c r="A7" s="306"/>
      <c r="B7" s="416" t="s">
        <v>96</v>
      </c>
      <c r="C7" s="466">
        <f>Inputs!B13</f>
        <v>212787.8</v>
      </c>
      <c r="D7" s="633">
        <f t="shared" ref="D7:D12" si="0">C7/C$41</f>
        <v>0.16214267492871604</v>
      </c>
      <c r="E7" s="696">
        <f>Inputs!C13</f>
        <v>206751.73636171196</v>
      </c>
      <c r="F7" s="633">
        <f>IF(C7=0,0,E7/C7)</f>
        <v>0.97163341301386619</v>
      </c>
      <c r="G7" s="307"/>
      <c r="H7" s="697">
        <f>C7-E7</f>
        <v>6036.063638288033</v>
      </c>
      <c r="I7" s="698">
        <f t="shared" ref="I7:I12" si="1">H7/H$41</f>
        <v>1.4198930146248703E-2</v>
      </c>
      <c r="J7" s="308"/>
      <c r="K7" s="432">
        <v>250</v>
      </c>
      <c r="L7" s="309">
        <f>C7*1000/K7</f>
        <v>851151.2</v>
      </c>
      <c r="M7" s="766">
        <f>(C7/$C$12*$L$44+L7/$L$12*$L$45)*$M$12</f>
        <v>6.5800943809619081E-2</v>
      </c>
      <c r="N7" s="581"/>
      <c r="O7" s="304">
        <f t="shared" ref="O7:O36" si="2">M7+N7</f>
        <v>6.5800943809619081E-2</v>
      </c>
    </row>
    <row r="8" spans="1:15" s="3" customFormat="1" ht="15" customHeight="1">
      <c r="A8" s="310"/>
      <c r="B8" s="417" t="s">
        <v>74</v>
      </c>
      <c r="C8" s="699">
        <f>Inputs!B14</f>
        <v>117427.86</v>
      </c>
      <c r="D8" s="700">
        <f t="shared" si="0"/>
        <v>8.947913053076717E-2</v>
      </c>
      <c r="E8" s="701">
        <f>Inputs!C14</f>
        <v>114096.83239471447</v>
      </c>
      <c r="F8" s="700">
        <f>IF(C8=0,0,E8/C8)</f>
        <v>0.9716334130138663</v>
      </c>
      <c r="G8" s="311"/>
      <c r="H8" s="702">
        <f>C8-E8</f>
        <v>3331.0276052855334</v>
      </c>
      <c r="I8" s="703">
        <f t="shared" si="1"/>
        <v>7.8357404952890657E-3</v>
      </c>
      <c r="J8" s="308"/>
      <c r="K8" s="432">
        <v>250</v>
      </c>
      <c r="L8" s="309">
        <f>C8*1000/K8</f>
        <v>469711.44</v>
      </c>
      <c r="M8" s="766">
        <f>(C8/$C$12*$L$44+L8/$L$12*$L$45)*$M$12</f>
        <v>3.6312533037814274E-2</v>
      </c>
      <c r="N8" s="581"/>
      <c r="O8" s="304">
        <f t="shared" si="2"/>
        <v>3.6312533037814274E-2</v>
      </c>
    </row>
    <row r="9" spans="1:15" ht="15" customHeight="1">
      <c r="A9" s="22"/>
      <c r="B9" s="26" t="s">
        <v>3</v>
      </c>
      <c r="C9" s="699">
        <f>Inputs!B15</f>
        <v>83017.45</v>
      </c>
      <c r="D9" s="700">
        <f t="shared" si="0"/>
        <v>6.3258661486988152E-2</v>
      </c>
      <c r="E9" s="701">
        <f>Inputs!C15</f>
        <v>80662.528283207997</v>
      </c>
      <c r="F9" s="700">
        <f>IF(C9=0,0,E9/C9)</f>
        <v>0.97163341301386641</v>
      </c>
      <c r="G9" s="311"/>
      <c r="H9" s="312">
        <f>C9-E9</f>
        <v>2354.9217167919996</v>
      </c>
      <c r="I9" s="313">
        <f t="shared" si="1"/>
        <v>5.5395984801275694E-3</v>
      </c>
      <c r="J9" s="314"/>
      <c r="K9" s="97">
        <v>275</v>
      </c>
      <c r="L9" s="309">
        <f>C9*1000/K9</f>
        <v>301881.63636363635</v>
      </c>
      <c r="M9" s="766">
        <f>(C9/$C$12*$L$44+L9/$L$12*$L$45)*$M$12</f>
        <v>2.4358069169689474E-2</v>
      </c>
      <c r="N9" s="580"/>
      <c r="O9" s="304">
        <f t="shared" si="2"/>
        <v>2.4358069169689474E-2</v>
      </c>
    </row>
    <row r="10" spans="1:15" ht="15" customHeight="1">
      <c r="A10" s="27"/>
      <c r="B10" s="28" t="s">
        <v>1</v>
      </c>
      <c r="C10" s="699">
        <f>Inputs!B16</f>
        <v>10389</v>
      </c>
      <c r="D10" s="700">
        <f t="shared" si="0"/>
        <v>7.9163384829131697E-3</v>
      </c>
      <c r="E10" s="701">
        <f>Inputs!C16</f>
        <v>10094.299527801057</v>
      </c>
      <c r="F10" s="700">
        <f>IF(C10=0,0,E10/C10)</f>
        <v>0.9716334130138663</v>
      </c>
      <c r="G10" s="311"/>
      <c r="H10" s="312">
        <f>C10-E10</f>
        <v>294.70047219894332</v>
      </c>
      <c r="I10" s="313">
        <f t="shared" si="1"/>
        <v>6.9323845300048987E-4</v>
      </c>
      <c r="J10" s="314"/>
      <c r="K10" s="97">
        <v>275</v>
      </c>
      <c r="L10" s="309">
        <f>C10*1000/K10</f>
        <v>37778.181818181816</v>
      </c>
      <c r="M10" s="766">
        <f>(C10/$C$12*$L$44+L10/$L$12*$L$45)*$M$12</f>
        <v>3.0482263741406644E-3</v>
      </c>
      <c r="N10" s="580"/>
      <c r="O10" s="304">
        <f t="shared" si="2"/>
        <v>3.0482263741406644E-3</v>
      </c>
    </row>
    <row r="11" spans="1:15" ht="15" customHeight="1">
      <c r="A11" s="29"/>
      <c r="B11" s="30" t="s">
        <v>2</v>
      </c>
      <c r="C11" s="704">
        <f>Inputs!B17</f>
        <v>114030.72</v>
      </c>
      <c r="D11" s="705">
        <f t="shared" si="0"/>
        <v>8.6890535852372358E-2</v>
      </c>
      <c r="E11" s="706">
        <f>Inputs!C17</f>
        <v>63363.966785561934</v>
      </c>
      <c r="F11" s="705">
        <f>IF(C11=0,0,E11/C11)</f>
        <v>0.5556745303858639</v>
      </c>
      <c r="G11" s="707"/>
      <c r="H11" s="708">
        <f>C11-E11</f>
        <v>50666.753214438068</v>
      </c>
      <c r="I11" s="709">
        <f t="shared" si="1"/>
        <v>0.11918590206134248</v>
      </c>
      <c r="J11" s="314"/>
      <c r="K11" s="97">
        <v>135</v>
      </c>
      <c r="L11" s="309">
        <f>C11*1000/K11</f>
        <v>844672</v>
      </c>
      <c r="M11" s="766">
        <f>(C11/$C$12*$L$44+L11/$L$12*$L$45)*$M$12</f>
        <v>5.2169770554823969E-2</v>
      </c>
      <c r="N11" s="580"/>
      <c r="O11" s="304">
        <f t="shared" si="2"/>
        <v>5.2169770554823969E-2</v>
      </c>
    </row>
    <row r="12" spans="1:15" s="3" customFormat="1" ht="15" customHeight="1" thickBot="1">
      <c r="A12" s="31" t="s">
        <v>37</v>
      </c>
      <c r="B12" s="32"/>
      <c r="C12" s="33">
        <f>SUM(C7:C11)</f>
        <v>537652.82999999996</v>
      </c>
      <c r="D12" s="634">
        <f t="shared" si="0"/>
        <v>0.40968734128175682</v>
      </c>
      <c r="E12" s="34">
        <f>SUM(E7:E11)</f>
        <v>474969.36335299746</v>
      </c>
      <c r="F12" s="628">
        <f>E12/C12</f>
        <v>0.88341274675890291</v>
      </c>
      <c r="G12" s="315"/>
      <c r="H12" s="316">
        <f>SUM(H7:H11)</f>
        <v>62683.466647002577</v>
      </c>
      <c r="I12" s="317">
        <f t="shared" si="1"/>
        <v>0.14745340963600831</v>
      </c>
      <c r="J12" s="318"/>
      <c r="K12" s="433"/>
      <c r="L12" s="425">
        <f>SUM(L7:L11)</f>
        <v>2505194.458181818</v>
      </c>
      <c r="M12" s="767">
        <f>Parameters!H8</f>
        <v>0.18168954294608744</v>
      </c>
      <c r="N12" s="583"/>
      <c r="O12" s="434"/>
    </row>
    <row r="13" spans="1:15" s="55" customFormat="1" ht="5.25" customHeight="1" thickBot="1">
      <c r="A13" s="43"/>
      <c r="B13" s="44"/>
      <c r="C13" s="46"/>
      <c r="D13" s="629"/>
      <c r="E13" s="47"/>
      <c r="F13" s="629"/>
      <c r="G13" s="45"/>
      <c r="H13" s="46"/>
      <c r="I13" s="185"/>
      <c r="J13" s="319"/>
      <c r="K13" s="435"/>
      <c r="L13" s="320"/>
      <c r="M13" s="584"/>
      <c r="N13" s="585"/>
      <c r="O13" s="436"/>
    </row>
    <row r="14" spans="1:15" s="3" customFormat="1" ht="15" customHeight="1">
      <c r="A14" s="321" t="s">
        <v>43</v>
      </c>
      <c r="B14" s="322"/>
      <c r="C14" s="419"/>
      <c r="D14" s="635"/>
      <c r="E14" s="420"/>
      <c r="F14" s="630"/>
      <c r="G14" s="202"/>
      <c r="H14" s="323"/>
      <c r="I14" s="203"/>
      <c r="J14" s="318"/>
      <c r="K14" s="437"/>
      <c r="L14" s="324"/>
      <c r="M14" s="586"/>
      <c r="N14" s="587"/>
      <c r="O14" s="438"/>
    </row>
    <row r="15" spans="1:15" ht="15" customHeight="1">
      <c r="A15" s="22" t="s">
        <v>58</v>
      </c>
      <c r="B15" s="26" t="s">
        <v>5</v>
      </c>
      <c r="C15" s="466">
        <f>Inputs!B19</f>
        <v>171666</v>
      </c>
      <c r="D15" s="633">
        <f t="shared" ref="D15:D37" si="3">C15/C$41</f>
        <v>0.1308081780737099</v>
      </c>
      <c r="E15" s="710">
        <f>Inputs!C19</f>
        <v>149770.91598241351</v>
      </c>
      <c r="F15" s="633">
        <f>IF(C15=0,0,E15/C15)</f>
        <v>0.87245532593765518</v>
      </c>
      <c r="G15" s="307"/>
      <c r="H15" s="329">
        <f>C15-E15</f>
        <v>21895.084017586487</v>
      </c>
      <c r="I15" s="330">
        <f t="shared" ref="I15:I37" si="4">H15/H$41</f>
        <v>5.1504885823260078E-2</v>
      </c>
      <c r="J15" s="314"/>
      <c r="K15" s="97">
        <v>55</v>
      </c>
      <c r="L15" s="309">
        <f>C15*1000/K15</f>
        <v>3121200</v>
      </c>
      <c r="M15" s="588"/>
      <c r="N15" s="580">
        <f>(C15/$C$20*$L$44+L15/$L$20*$L$45)*$N$20</f>
        <v>0.11887951533200602</v>
      </c>
      <c r="O15" s="304">
        <f>M15+N15</f>
        <v>0.11887951533200602</v>
      </c>
    </row>
    <row r="16" spans="1:15" ht="15" customHeight="1">
      <c r="A16" s="22"/>
      <c r="B16" s="26" t="s">
        <v>38</v>
      </c>
      <c r="C16" s="699">
        <f>Inputs!B20</f>
        <v>14198.859999999999</v>
      </c>
      <c r="D16" s="700">
        <f t="shared" si="3"/>
        <v>1.0819422642361775E-2</v>
      </c>
      <c r="E16" s="711">
        <f>Inputs!C20</f>
        <v>4850.3883410829485</v>
      </c>
      <c r="F16" s="700">
        <f>IF(C16=0,0,E16/C16)</f>
        <v>0.34160406829019718</v>
      </c>
      <c r="G16" s="311"/>
      <c r="H16" s="312">
        <f>C16-E16</f>
        <v>9348.4716589170494</v>
      </c>
      <c r="I16" s="313">
        <f t="shared" si="4"/>
        <v>2.1990870874382725E-2</v>
      </c>
      <c r="J16" s="314"/>
      <c r="K16" s="97">
        <v>35</v>
      </c>
      <c r="L16" s="309">
        <f>C16*1000/K16</f>
        <v>405681.71428571426</v>
      </c>
      <c r="M16" s="588"/>
      <c r="N16" s="580">
        <f>(C16/$C$20*$L$44+L16/$L$20*$L$45)*$N$20</f>
        <v>1.312005171432608E-2</v>
      </c>
      <c r="O16" s="304">
        <f t="shared" si="2"/>
        <v>1.312005171432608E-2</v>
      </c>
    </row>
    <row r="17" spans="1:15" ht="15" customHeight="1">
      <c r="A17" s="27"/>
      <c r="B17" s="28" t="s">
        <v>23</v>
      </c>
      <c r="C17" s="699">
        <f>Inputs!B21</f>
        <v>40429.200000000004</v>
      </c>
      <c r="D17" s="700">
        <f t="shared" si="3"/>
        <v>3.0806740956145263E-2</v>
      </c>
      <c r="E17" s="711">
        <f>Inputs!C21</f>
        <v>400.89684641644141</v>
      </c>
      <c r="F17" s="700">
        <f>IF(C17=0,0,E17/C17)</f>
        <v>9.9160222417569808E-3</v>
      </c>
      <c r="G17" s="311"/>
      <c r="H17" s="312">
        <f>C17-E17</f>
        <v>40028.303153583562</v>
      </c>
      <c r="I17" s="313">
        <f t="shared" si="4"/>
        <v>9.4160551380766996E-2</v>
      </c>
      <c r="J17" s="314"/>
      <c r="K17" s="97">
        <v>35</v>
      </c>
      <c r="L17" s="309">
        <f>C17*1000/K17</f>
        <v>1155120.0000000002</v>
      </c>
      <c r="M17" s="588"/>
      <c r="N17" s="580">
        <f>(C17/$C$20*$L$44+L17/$L$20*$L$45)*$N$20</f>
        <v>3.7357449455014839E-2</v>
      </c>
      <c r="O17" s="304">
        <f t="shared" si="2"/>
        <v>3.7357449455014839E-2</v>
      </c>
    </row>
    <row r="18" spans="1:15" ht="15" customHeight="1">
      <c r="A18" s="29"/>
      <c r="B18" s="30" t="s">
        <v>8</v>
      </c>
      <c r="C18" s="699">
        <f>Inputs!B22</f>
        <v>4245.28</v>
      </c>
      <c r="D18" s="700">
        <f t="shared" si="3"/>
        <v>3.2348708667573026E-3</v>
      </c>
      <c r="E18" s="711">
        <f>Inputs!C22</f>
        <v>502.63927269698121</v>
      </c>
      <c r="F18" s="700">
        <f>IF(C18=0,0,E18/C18)</f>
        <v>0.11839955731941856</v>
      </c>
      <c r="G18" s="311"/>
      <c r="H18" s="312">
        <f>C18-E18</f>
        <v>3742.6407273030186</v>
      </c>
      <c r="I18" s="313">
        <f t="shared" si="4"/>
        <v>8.8039983396452654E-3</v>
      </c>
      <c r="J18" s="314"/>
      <c r="K18" s="97">
        <v>35</v>
      </c>
      <c r="L18" s="309">
        <f>C18*1000/K18</f>
        <v>121293.71428571429</v>
      </c>
      <c r="M18" s="588"/>
      <c r="N18" s="580">
        <f>(C18/$C$20*$L$44+L18/$L$20*$L$45)*$N$20</f>
        <v>3.9227299333745259E-3</v>
      </c>
      <c r="O18" s="304">
        <f t="shared" si="2"/>
        <v>3.9227299333745259E-3</v>
      </c>
    </row>
    <row r="19" spans="1:15" ht="15" customHeight="1">
      <c r="A19" s="29"/>
      <c r="B19" s="30" t="s">
        <v>6</v>
      </c>
      <c r="C19" s="704">
        <f>Inputs!B23</f>
        <v>128547.75</v>
      </c>
      <c r="D19" s="705">
        <f t="shared" si="3"/>
        <v>9.7952401599470731E-2</v>
      </c>
      <c r="E19" s="712">
        <f>Inputs!C23</f>
        <v>70976.675598618676</v>
      </c>
      <c r="F19" s="705">
        <f>IF(C19=0,0,E19/C19)</f>
        <v>0.55214249645457569</v>
      </c>
      <c r="G19" s="707"/>
      <c r="H19" s="708">
        <f>C19-E19</f>
        <v>57571.074401381324</v>
      </c>
      <c r="I19" s="709">
        <f t="shared" si="4"/>
        <v>0.13542727725474202</v>
      </c>
      <c r="J19" s="314"/>
      <c r="K19" s="97">
        <v>60</v>
      </c>
      <c r="L19" s="309">
        <f>C19*1000/K19</f>
        <v>2142462.5</v>
      </c>
      <c r="M19" s="588"/>
      <c r="N19" s="580">
        <f>(C19/$C$20*$L$44+L19/$L$20*$L$45)*$N$20</f>
        <v>8.4679783776117651E-2</v>
      </c>
      <c r="O19" s="304">
        <f t="shared" si="2"/>
        <v>8.4679783776117651E-2</v>
      </c>
    </row>
    <row r="20" spans="1:15" s="3" customFormat="1" ht="15" customHeight="1">
      <c r="A20" s="65" t="s">
        <v>42</v>
      </c>
      <c r="B20" s="11"/>
      <c r="C20" s="13">
        <f>SUM(C15:C19)</f>
        <v>359087.08999999997</v>
      </c>
      <c r="D20" s="636">
        <f t="shared" si="3"/>
        <v>0.27362161413844494</v>
      </c>
      <c r="E20" s="14">
        <f>SUM(E15:E19)</f>
        <v>226501.51604122855</v>
      </c>
      <c r="F20" s="631">
        <f>E20/C20</f>
        <v>0.63077042408076711</v>
      </c>
      <c r="G20" s="325"/>
      <c r="H20" s="326">
        <f>SUM(H15:H19)</f>
        <v>132585.57395877142</v>
      </c>
      <c r="I20" s="327">
        <f t="shared" si="4"/>
        <v>0.31188758367279701</v>
      </c>
      <c r="J20" s="318"/>
      <c r="K20" s="439"/>
      <c r="L20" s="328">
        <f>SUM(L15:L19)</f>
        <v>6945757.9285714291</v>
      </c>
      <c r="M20" s="589"/>
      <c r="N20" s="582">
        <f>Parameters!H9</f>
        <v>0.25795953021083912</v>
      </c>
      <c r="O20" s="440"/>
    </row>
    <row r="21" spans="1:15" ht="15" customHeight="1">
      <c r="A21" s="22" t="s">
        <v>53</v>
      </c>
      <c r="B21" s="26" t="s">
        <v>10</v>
      </c>
      <c r="C21" s="466">
        <f>Inputs!B25</f>
        <v>46335.12</v>
      </c>
      <c r="D21" s="633">
        <f t="shared" si="3"/>
        <v>3.5307006792415024E-2</v>
      </c>
      <c r="E21" s="710">
        <f>Inputs!C25</f>
        <v>28216.54797929493</v>
      </c>
      <c r="F21" s="633">
        <f t="shared" ref="F21:F26" si="5">IF(C21=0,0,E21/C21)</f>
        <v>0.60896676169814445</v>
      </c>
      <c r="G21" s="307"/>
      <c r="H21" s="329">
        <f t="shared" ref="H21:H26" si="6">C21-E21</f>
        <v>18118.572020705073</v>
      </c>
      <c r="I21" s="330">
        <f t="shared" si="4"/>
        <v>4.2621210425928119E-2</v>
      </c>
      <c r="J21" s="314"/>
      <c r="K21" s="97">
        <v>25</v>
      </c>
      <c r="L21" s="309">
        <f t="shared" ref="L21:L26" si="7">C21*1000/K21</f>
        <v>1853404.8</v>
      </c>
      <c r="M21" s="588"/>
      <c r="N21" s="580">
        <f t="shared" ref="N21:N26" si="8">(C21/$C$27*$L$44+L21/$L$27*$L$45)*$N$27</f>
        <v>7.9901399875452445E-2</v>
      </c>
      <c r="O21" s="304">
        <f t="shared" si="2"/>
        <v>7.9901399875452445E-2</v>
      </c>
    </row>
    <row r="22" spans="1:15" ht="15" customHeight="1">
      <c r="A22" s="27"/>
      <c r="B22" s="28" t="s">
        <v>11</v>
      </c>
      <c r="C22" s="699">
        <f>Inputs!B26</f>
        <v>27347.530000000002</v>
      </c>
      <c r="D22" s="700">
        <f t="shared" si="3"/>
        <v>2.0838608542845548E-2</v>
      </c>
      <c r="E22" s="711">
        <f>Inputs!C26</f>
        <v>15469.677230451909</v>
      </c>
      <c r="F22" s="700">
        <f t="shared" si="5"/>
        <v>0.56566999763605375</v>
      </c>
      <c r="G22" s="311"/>
      <c r="H22" s="312">
        <f t="shared" si="6"/>
        <v>11877.852769548093</v>
      </c>
      <c r="I22" s="313">
        <f t="shared" si="4"/>
        <v>2.7940858789566026E-2</v>
      </c>
      <c r="J22" s="314"/>
      <c r="K22" s="97">
        <v>25</v>
      </c>
      <c r="L22" s="309">
        <f t="shared" si="7"/>
        <v>1093901.2000000002</v>
      </c>
      <c r="M22" s="588"/>
      <c r="N22" s="580">
        <f t="shared" si="8"/>
        <v>4.7158741147879456E-2</v>
      </c>
      <c r="O22" s="304">
        <f t="shared" si="2"/>
        <v>4.7158741147879456E-2</v>
      </c>
    </row>
    <row r="23" spans="1:15" ht="15" customHeight="1">
      <c r="A23" s="27"/>
      <c r="B23" s="28" t="s">
        <v>12</v>
      </c>
      <c r="C23" s="699">
        <f>Inputs!B27</f>
        <v>48786.68</v>
      </c>
      <c r="D23" s="700">
        <f t="shared" si="3"/>
        <v>3.7175076748250095E-2</v>
      </c>
      <c r="E23" s="711">
        <f>Inputs!C27</f>
        <v>3122.627862919835</v>
      </c>
      <c r="F23" s="700">
        <f t="shared" si="5"/>
        <v>6.4005746300421246E-2</v>
      </c>
      <c r="G23" s="311"/>
      <c r="H23" s="312">
        <f t="shared" si="6"/>
        <v>45664.052137080165</v>
      </c>
      <c r="I23" s="313">
        <f t="shared" si="4"/>
        <v>0.10741780162426449</v>
      </c>
      <c r="J23" s="314"/>
      <c r="K23" s="97">
        <v>28</v>
      </c>
      <c r="L23" s="309">
        <f t="shared" si="7"/>
        <v>1742381.4285714286</v>
      </c>
      <c r="M23" s="588"/>
      <c r="N23" s="580">
        <f t="shared" si="8"/>
        <v>7.8769457779690411E-2</v>
      </c>
      <c r="O23" s="304">
        <f t="shared" si="2"/>
        <v>7.8769457779690411E-2</v>
      </c>
    </row>
    <row r="24" spans="1:15" ht="15" customHeight="1">
      <c r="A24" s="27"/>
      <c r="B24" s="28" t="s">
        <v>22</v>
      </c>
      <c r="C24" s="699">
        <f>Inputs!B28</f>
        <v>33609.68</v>
      </c>
      <c r="D24" s="700">
        <f t="shared" si="3"/>
        <v>2.5610318912541834E-2</v>
      </c>
      <c r="E24" s="711">
        <f>Inputs!C28</f>
        <v>336.09680000000003</v>
      </c>
      <c r="F24" s="700">
        <f t="shared" si="5"/>
        <v>0.01</v>
      </c>
      <c r="G24" s="311"/>
      <c r="H24" s="312">
        <f t="shared" si="6"/>
        <v>33273.583200000001</v>
      </c>
      <c r="I24" s="313">
        <f t="shared" si="4"/>
        <v>7.8271090545723926E-2</v>
      </c>
      <c r="J24" s="314"/>
      <c r="K24" s="97">
        <v>28</v>
      </c>
      <c r="L24" s="309">
        <f t="shared" si="7"/>
        <v>1200345.7142857143</v>
      </c>
      <c r="M24" s="588"/>
      <c r="N24" s="580">
        <f t="shared" si="8"/>
        <v>5.4265145112332006E-2</v>
      </c>
      <c r="O24" s="304">
        <f t="shared" si="2"/>
        <v>5.4265145112332006E-2</v>
      </c>
    </row>
    <row r="25" spans="1:15" ht="15" customHeight="1">
      <c r="A25" s="27"/>
      <c r="B25" s="28" t="s">
        <v>13</v>
      </c>
      <c r="C25" s="699">
        <f>Inputs!B29</f>
        <v>21195.600000000002</v>
      </c>
      <c r="D25" s="700">
        <f t="shared" si="3"/>
        <v>1.6150884969528771E-2</v>
      </c>
      <c r="E25" s="711">
        <f>Inputs!C29</f>
        <v>822.85912660232339</v>
      </c>
      <c r="F25" s="700">
        <f t="shared" si="5"/>
        <v>3.8822167176315994E-2</v>
      </c>
      <c r="G25" s="311"/>
      <c r="H25" s="312">
        <f t="shared" si="6"/>
        <v>20372.740873397677</v>
      </c>
      <c r="I25" s="313">
        <f t="shared" si="4"/>
        <v>4.7923802975517231E-2</v>
      </c>
      <c r="J25" s="314"/>
      <c r="K25" s="97">
        <v>15</v>
      </c>
      <c r="L25" s="309">
        <f t="shared" si="7"/>
        <v>1413040.0000000002</v>
      </c>
      <c r="M25" s="588"/>
      <c r="N25" s="580">
        <f t="shared" si="8"/>
        <v>5.1038320756989428E-2</v>
      </c>
      <c r="O25" s="304">
        <f t="shared" si="2"/>
        <v>5.1038320756989428E-2</v>
      </c>
    </row>
    <row r="26" spans="1:15" ht="15" customHeight="1">
      <c r="A26" s="29"/>
      <c r="B26" s="30" t="s">
        <v>14</v>
      </c>
      <c r="C26" s="704">
        <f>Inputs!B30</f>
        <v>55571.519999999997</v>
      </c>
      <c r="D26" s="705">
        <f t="shared" si="3"/>
        <v>4.2345072897293182E-2</v>
      </c>
      <c r="E26" s="712">
        <f>Inputs!C30</f>
        <v>10653.037281600642</v>
      </c>
      <c r="F26" s="705">
        <f t="shared" si="5"/>
        <v>0.19169958427627393</v>
      </c>
      <c r="G26" s="707"/>
      <c r="H26" s="708">
        <f t="shared" si="6"/>
        <v>44918.482718399355</v>
      </c>
      <c r="I26" s="709">
        <f t="shared" si="4"/>
        <v>0.10566396191524005</v>
      </c>
      <c r="J26" s="314"/>
      <c r="K26" s="97">
        <v>25</v>
      </c>
      <c r="L26" s="309">
        <f t="shared" si="7"/>
        <v>2222860.7999999998</v>
      </c>
      <c r="M26" s="588"/>
      <c r="N26" s="580">
        <f t="shared" si="8"/>
        <v>9.5828871085403527E-2</v>
      </c>
      <c r="O26" s="304">
        <f t="shared" si="2"/>
        <v>9.5828871085403527E-2</v>
      </c>
    </row>
    <row r="27" spans="1:15" s="3" customFormat="1" ht="15" customHeight="1">
      <c r="A27" s="65" t="s">
        <v>34</v>
      </c>
      <c r="B27" s="11"/>
      <c r="C27" s="13">
        <f>SUM(C21:C26)</f>
        <v>232846.13</v>
      </c>
      <c r="D27" s="636">
        <f t="shared" si="3"/>
        <v>0.17742696886287446</v>
      </c>
      <c r="E27" s="14">
        <f>SUM(E21:E26)</f>
        <v>58620.846280869635</v>
      </c>
      <c r="F27" s="631">
        <f>E27/C27</f>
        <v>0.251757872380656</v>
      </c>
      <c r="G27" s="325"/>
      <c r="H27" s="326">
        <f>SUM(H21:H26)</f>
        <v>174225.28371913036</v>
      </c>
      <c r="I27" s="327">
        <f t="shared" si="4"/>
        <v>0.40983872627623985</v>
      </c>
      <c r="J27" s="318"/>
      <c r="K27" s="439"/>
      <c r="L27" s="328">
        <f>SUM(L21:L26)</f>
        <v>9525933.9428571425</v>
      </c>
      <c r="M27" s="589"/>
      <c r="N27" s="590">
        <f>Parameters!H10</f>
        <v>0.40696193575774725</v>
      </c>
      <c r="O27" s="440"/>
    </row>
    <row r="28" spans="1:15" ht="15" customHeight="1">
      <c r="A28" s="22" t="s">
        <v>54</v>
      </c>
      <c r="B28" s="26" t="s">
        <v>63</v>
      </c>
      <c r="C28" s="466">
        <f>Inputs!B32</f>
        <v>47716.44</v>
      </c>
      <c r="D28" s="633">
        <f t="shared" si="3"/>
        <v>3.6359562059834177E-2</v>
      </c>
      <c r="E28" s="710">
        <f>Inputs!C32</f>
        <v>29134.450023494323</v>
      </c>
      <c r="F28" s="633">
        <f>IF(C28=0,0,E28/C28)</f>
        <v>0.61057467873743976</v>
      </c>
      <c r="G28" s="307"/>
      <c r="H28" s="329">
        <f>C28-E28</f>
        <v>18581.98997650568</v>
      </c>
      <c r="I28" s="330">
        <f t="shared" si="4"/>
        <v>4.371133133538832E-2</v>
      </c>
      <c r="J28" s="314"/>
      <c r="K28" s="97">
        <v>90</v>
      </c>
      <c r="L28" s="309">
        <f>C28*1000/K28</f>
        <v>530182.66666666663</v>
      </c>
      <c r="M28" s="588"/>
      <c r="N28" s="580">
        <f>(C28/$C$31*$L$44+L28/$L$31*$L$45)*$N$31</f>
        <v>4.5528285447462111E-2</v>
      </c>
      <c r="O28" s="304">
        <f t="shared" si="2"/>
        <v>4.5528285447462111E-2</v>
      </c>
    </row>
    <row r="29" spans="1:15" ht="15" customHeight="1">
      <c r="A29" s="27"/>
      <c r="B29" s="28" t="s">
        <v>17</v>
      </c>
      <c r="C29" s="699">
        <f>Inputs!B33</f>
        <v>4213.72</v>
      </c>
      <c r="D29" s="700">
        <f t="shared" si="3"/>
        <v>3.2108223883165737E-3</v>
      </c>
      <c r="E29" s="711">
        <f>Inputs!C33</f>
        <v>1167.1142312909381</v>
      </c>
      <c r="F29" s="700">
        <f>IF(C29=0,0,E29/C29)</f>
        <v>0.27697954094978738</v>
      </c>
      <c r="G29" s="311"/>
      <c r="H29" s="312">
        <f>C29-E29</f>
        <v>3046.6057687090624</v>
      </c>
      <c r="I29" s="313">
        <f t="shared" si="4"/>
        <v>7.1666809837226024E-3</v>
      </c>
      <c r="J29" s="314"/>
      <c r="K29" s="97">
        <v>90</v>
      </c>
      <c r="L29" s="309">
        <f>C29*1000/K29</f>
        <v>46819.111111111109</v>
      </c>
      <c r="M29" s="588"/>
      <c r="N29" s="580">
        <f>(C29/$C$31*$L$44+L29/$L$31*$L$45)*$N$31</f>
        <v>4.020489520083226E-3</v>
      </c>
      <c r="O29" s="304">
        <f t="shared" si="2"/>
        <v>4.020489520083226E-3</v>
      </c>
    </row>
    <row r="30" spans="1:15" ht="15" customHeight="1">
      <c r="A30" s="29"/>
      <c r="B30" s="30" t="s">
        <v>18</v>
      </c>
      <c r="C30" s="704">
        <f>Inputs!B34</f>
        <v>5166.72</v>
      </c>
      <c r="D30" s="705">
        <f t="shared" si="3"/>
        <v>3.9370010940838517E-3</v>
      </c>
      <c r="E30" s="712">
        <f>Inputs!C34</f>
        <v>935.17403201479385</v>
      </c>
      <c r="F30" s="705">
        <f>IF(C30=0,0,E30/C30)</f>
        <v>0.18099955716872479</v>
      </c>
      <c r="G30" s="707"/>
      <c r="H30" s="708">
        <f>C30-E30</f>
        <v>4231.5459679852065</v>
      </c>
      <c r="I30" s="709">
        <f t="shared" si="4"/>
        <v>9.9540742461594299E-3</v>
      </c>
      <c r="J30" s="314"/>
      <c r="K30" s="97">
        <v>90</v>
      </c>
      <c r="L30" s="309">
        <f>C30*1000/K30</f>
        <v>57408</v>
      </c>
      <c r="M30" s="588"/>
      <c r="N30" s="580">
        <f>(C30/$C$31*$L$44+L30/$L$31*$L$45)*$N$31</f>
        <v>4.9297873644201335E-3</v>
      </c>
      <c r="O30" s="304">
        <f t="shared" si="2"/>
        <v>4.9297873644201335E-3</v>
      </c>
    </row>
    <row r="31" spans="1:15" s="3" customFormat="1" ht="15" customHeight="1">
      <c r="A31" s="65" t="s">
        <v>57</v>
      </c>
      <c r="B31" s="11"/>
      <c r="C31" s="13">
        <f>SUM(C28:C30)</f>
        <v>57096.880000000005</v>
      </c>
      <c r="D31" s="636">
        <f t="shared" si="3"/>
        <v>4.3507385542234607E-2</v>
      </c>
      <c r="E31" s="14">
        <f>SUM(E28:E30)</f>
        <v>31236.738286800057</v>
      </c>
      <c r="F31" s="631">
        <f>E31/C31</f>
        <v>0.54708310308374208</v>
      </c>
      <c r="G31" s="325"/>
      <c r="H31" s="326">
        <f>SUM(H28:H30)</f>
        <v>25860.141713199948</v>
      </c>
      <c r="I31" s="327">
        <f t="shared" si="4"/>
        <v>6.0832086565270352E-2</v>
      </c>
      <c r="J31" s="318"/>
      <c r="K31" s="439"/>
      <c r="L31" s="328">
        <f>SUM(L28:L30)</f>
        <v>634409.77777777775</v>
      </c>
      <c r="M31" s="589"/>
      <c r="N31" s="590">
        <f>Parameters!H11</f>
        <v>5.447856233196547E-2</v>
      </c>
      <c r="O31" s="440"/>
    </row>
    <row r="32" spans="1:15" ht="15" customHeight="1">
      <c r="A32" s="22" t="s">
        <v>55</v>
      </c>
      <c r="B32" s="26" t="s">
        <v>94</v>
      </c>
      <c r="C32" s="466">
        <f>Inputs!B36</f>
        <v>21172.649999999998</v>
      </c>
      <c r="D32" s="633">
        <f t="shared" si="3"/>
        <v>1.6133397245187361E-2</v>
      </c>
      <c r="E32" s="710">
        <f>Inputs!C36</f>
        <v>10506.61862749415</v>
      </c>
      <c r="F32" s="633">
        <f>IF(C32=0,0,E32/C32)</f>
        <v>0.4962354087700005</v>
      </c>
      <c r="G32" s="307"/>
      <c r="H32" s="329">
        <f>C32-E32</f>
        <v>10666.031372505848</v>
      </c>
      <c r="I32" s="330">
        <f t="shared" si="4"/>
        <v>2.509023156006045E-2</v>
      </c>
      <c r="J32" s="314"/>
      <c r="K32" s="97">
        <v>30</v>
      </c>
      <c r="L32" s="309">
        <f>C32*1000/K32</f>
        <v>705754.99999999988</v>
      </c>
      <c r="M32" s="588"/>
      <c r="N32" s="580">
        <f>(C32/$C$34*$L$44+L32/$L$34*$L$45)*$N$34</f>
        <v>4.4026369012564633E-2</v>
      </c>
      <c r="O32" s="304">
        <f t="shared" si="2"/>
        <v>4.4026369012564633E-2</v>
      </c>
    </row>
    <row r="33" spans="1:15" ht="15" customHeight="1">
      <c r="A33" s="29"/>
      <c r="B33" s="30" t="s">
        <v>95</v>
      </c>
      <c r="C33" s="704">
        <f>Inputs!B37</f>
        <v>3733.6</v>
      </c>
      <c r="D33" s="705">
        <f t="shared" si="3"/>
        <v>2.8449746231403029E-3</v>
      </c>
      <c r="E33" s="712">
        <f>Inputs!C37</f>
        <v>336.56005693115003</v>
      </c>
      <c r="F33" s="705">
        <f>IF(C33=0,0,E33/C33)</f>
        <v>9.0143576422527863E-2</v>
      </c>
      <c r="G33" s="707"/>
      <c r="H33" s="708">
        <f>C33-E33</f>
        <v>3397.0399430688499</v>
      </c>
      <c r="I33" s="709">
        <f t="shared" si="4"/>
        <v>7.9910245726520605E-3</v>
      </c>
      <c r="J33" s="314"/>
      <c r="K33" s="97">
        <v>30</v>
      </c>
      <c r="L33" s="309">
        <f>C33*1000/K33</f>
        <v>124453.33333333333</v>
      </c>
      <c r="M33" s="588"/>
      <c r="N33" s="580">
        <f>(C33/$C$34*$L$44+L33/$L$34*$L$45)*$N$34</f>
        <v>7.7636408926285237E-3</v>
      </c>
      <c r="O33" s="304">
        <f t="shared" si="2"/>
        <v>7.7636408926285237E-3</v>
      </c>
    </row>
    <row r="34" spans="1:15" s="3" customFormat="1" ht="15" customHeight="1">
      <c r="A34" s="65" t="s">
        <v>35</v>
      </c>
      <c r="B34" s="11"/>
      <c r="C34" s="13">
        <f>SUM(C32:C33)</f>
        <v>24906.249999999996</v>
      </c>
      <c r="D34" s="636">
        <f t="shared" si="3"/>
        <v>1.8978371868327664E-2</v>
      </c>
      <c r="E34" s="14">
        <f>SUM(E32:E33)</f>
        <v>10843.1786844253</v>
      </c>
      <c r="F34" s="631">
        <f>E34/C34</f>
        <v>0.43535974642610997</v>
      </c>
      <c r="G34" s="325"/>
      <c r="H34" s="326">
        <f>SUM(H32:H33)</f>
        <v>14063.071315574698</v>
      </c>
      <c r="I34" s="327">
        <f t="shared" si="4"/>
        <v>3.3081256132712511E-2</v>
      </c>
      <c r="J34" s="318"/>
      <c r="K34" s="439"/>
      <c r="L34" s="328">
        <f>SUM(L32:L33)</f>
        <v>830208.33333333326</v>
      </c>
      <c r="M34" s="589"/>
      <c r="N34" s="590">
        <f>Parameters!H12</f>
        <v>5.1790009905193155E-2</v>
      </c>
      <c r="O34" s="440"/>
    </row>
    <row r="35" spans="1:15" ht="15" customHeight="1">
      <c r="A35" s="22" t="s">
        <v>19</v>
      </c>
      <c r="B35" s="26" t="s">
        <v>20</v>
      </c>
      <c r="C35" s="466">
        <f>Inputs!B39</f>
        <v>76291.199999999997</v>
      </c>
      <c r="D35" s="633">
        <f t="shared" si="3"/>
        <v>5.8133310469499003E-2</v>
      </c>
      <c r="E35" s="710">
        <f>Inputs!C39</f>
        <v>67826.721330410612</v>
      </c>
      <c r="F35" s="633">
        <f>IF(C35=0,0,E35/C35)</f>
        <v>0.88905039284230181</v>
      </c>
      <c r="G35" s="307"/>
      <c r="H35" s="329">
        <f>C35-E35</f>
        <v>8464.4786695893854</v>
      </c>
      <c r="I35" s="330">
        <f t="shared" si="4"/>
        <v>1.991141057419327E-2</v>
      </c>
      <c r="J35" s="314"/>
      <c r="K35" s="97">
        <v>300</v>
      </c>
      <c r="L35" s="309">
        <f>C35*1000/K35</f>
        <v>254304</v>
      </c>
      <c r="M35" s="588"/>
      <c r="N35" s="580">
        <f>(C35/$C$37*$L$44+L35/$L$37*$L$45)*$N$37</f>
        <v>3.5677597514224092E-2</v>
      </c>
      <c r="O35" s="304">
        <f t="shared" si="2"/>
        <v>3.5677597514224092E-2</v>
      </c>
    </row>
    <row r="36" spans="1:15" ht="15" customHeight="1">
      <c r="A36" s="27"/>
      <c r="B36" s="28" t="s">
        <v>21</v>
      </c>
      <c r="C36" s="699">
        <f>Inputs!B40</f>
        <v>24468.760000000002</v>
      </c>
      <c r="D36" s="700">
        <f t="shared" si="3"/>
        <v>1.8645007836862688E-2</v>
      </c>
      <c r="E36" s="711">
        <f>Inputs!C40</f>
        <v>17243.843591268549</v>
      </c>
      <c r="F36" s="700">
        <f>IF(C36=0,0,E36/C36)</f>
        <v>0.70472895198892582</v>
      </c>
      <c r="G36" s="311"/>
      <c r="H36" s="312">
        <f>C36-E36</f>
        <v>7224.916408731453</v>
      </c>
      <c r="I36" s="313">
        <f t="shared" si="4"/>
        <v>1.6995527142778723E-2</v>
      </c>
      <c r="J36" s="314"/>
      <c r="K36" s="97">
        <v>300</v>
      </c>
      <c r="L36" s="309">
        <f>C36*1000/K36</f>
        <v>81562.53333333334</v>
      </c>
      <c r="M36" s="588"/>
      <c r="N36" s="580">
        <f>(C36/$C$37*$L$44+L36/$L$37*$L$45)*$N$37</f>
        <v>1.1442821333943445E-2</v>
      </c>
      <c r="O36" s="304">
        <f t="shared" si="2"/>
        <v>1.1442821333943445E-2</v>
      </c>
    </row>
    <row r="37" spans="1:15" s="3" customFormat="1" ht="15" customHeight="1" thickBot="1">
      <c r="A37" s="65" t="s">
        <v>36</v>
      </c>
      <c r="B37" s="11"/>
      <c r="C37" s="13">
        <f>SUM(C35:C36)</f>
        <v>100759.95999999999</v>
      </c>
      <c r="D37" s="636">
        <f t="shared" si="3"/>
        <v>7.6778318306361684E-2</v>
      </c>
      <c r="E37" s="14">
        <f>SUM(E35:E36)</f>
        <v>85070.564921679164</v>
      </c>
      <c r="F37" s="631">
        <f>E37/C37</f>
        <v>0.84428938758688643</v>
      </c>
      <c r="G37" s="325"/>
      <c r="H37" s="326">
        <f>SUM(H35:H36)</f>
        <v>15689.395078320838</v>
      </c>
      <c r="I37" s="327">
        <f t="shared" si="4"/>
        <v>3.6906937716971989E-2</v>
      </c>
      <c r="J37" s="318"/>
      <c r="K37" s="439"/>
      <c r="L37" s="328">
        <f>SUM(L35:L36)</f>
        <v>335866.53333333333</v>
      </c>
      <c r="M37" s="589"/>
      <c r="N37" s="590">
        <f>Parameters!H13</f>
        <v>4.712041884816754E-2</v>
      </c>
      <c r="O37" s="223"/>
    </row>
    <row r="38" spans="1:15" s="55" customFormat="1" ht="6" customHeight="1" thickBot="1">
      <c r="A38" s="68"/>
      <c r="B38" s="69"/>
      <c r="C38" s="331"/>
      <c r="D38" s="637"/>
      <c r="E38" s="332"/>
      <c r="F38" s="632"/>
      <c r="G38" s="70"/>
      <c r="H38" s="331"/>
      <c r="I38" s="77"/>
      <c r="J38" s="318"/>
      <c r="K38" s="435"/>
      <c r="L38" s="320"/>
      <c r="M38" s="584"/>
      <c r="N38" s="585"/>
      <c r="O38" s="436"/>
    </row>
    <row r="39" spans="1:15" s="3" customFormat="1" ht="15" customHeight="1" thickBot="1">
      <c r="A39" s="79" t="s">
        <v>45</v>
      </c>
      <c r="B39" s="80"/>
      <c r="C39" s="333">
        <f>C41-C12</f>
        <v>774696.30999999971</v>
      </c>
      <c r="D39" s="638">
        <f>C39/C$41</f>
        <v>0.59031265871824312</v>
      </c>
      <c r="E39" s="334">
        <f>E41-E12</f>
        <v>412272.84421500284</v>
      </c>
      <c r="F39" s="631">
        <f>E39/C39</f>
        <v>0.53217349675384795</v>
      </c>
      <c r="G39" s="335"/>
      <c r="H39" s="333">
        <f>H41-H12</f>
        <v>362423.46578499727</v>
      </c>
      <c r="I39" s="41">
        <f>H39/H$41</f>
        <v>0.85254659036399172</v>
      </c>
      <c r="J39" s="318"/>
      <c r="K39" s="437"/>
      <c r="L39" s="324"/>
      <c r="M39" s="586"/>
      <c r="N39" s="587"/>
      <c r="O39" s="438"/>
    </row>
    <row r="40" spans="1:15" s="55" customFormat="1" ht="6.75" customHeight="1" thickBot="1">
      <c r="A40" s="68"/>
      <c r="B40" s="69"/>
      <c r="C40" s="331"/>
      <c r="D40" s="637"/>
      <c r="E40" s="332"/>
      <c r="F40" s="632"/>
      <c r="G40" s="122"/>
      <c r="H40" s="336"/>
      <c r="I40" s="123"/>
      <c r="J40" s="319"/>
      <c r="K40" s="435"/>
      <c r="L40" s="320"/>
      <c r="M40" s="584"/>
      <c r="N40" s="585"/>
      <c r="O40" s="436"/>
    </row>
    <row r="41" spans="1:15" s="3" customFormat="1" ht="15" customHeight="1" thickBot="1">
      <c r="A41" s="337" t="s">
        <v>39</v>
      </c>
      <c r="B41" s="32"/>
      <c r="C41" s="33">
        <f>C12+C20+C27+C31+C34+C37</f>
        <v>1312349.1399999997</v>
      </c>
      <c r="D41" s="634">
        <f>C41/C$41</f>
        <v>1</v>
      </c>
      <c r="E41" s="338">
        <f>E12+E20+E27+E31+E34+E37</f>
        <v>887242.2075680003</v>
      </c>
      <c r="F41" s="628">
        <f>E41/C41</f>
        <v>0.67607177124221729</v>
      </c>
      <c r="G41" s="315"/>
      <c r="H41" s="316">
        <f>H12+H20+H27+H31+H34+H37</f>
        <v>425106.93243199983</v>
      </c>
      <c r="I41" s="317">
        <f>H41/$H41</f>
        <v>1</v>
      </c>
      <c r="J41" s="318"/>
      <c r="K41" s="441"/>
      <c r="L41" s="442">
        <f>L20+L27+L31+L34+L37</f>
        <v>18272176.515873015</v>
      </c>
      <c r="M41" s="591"/>
      <c r="N41" s="591"/>
      <c r="O41" s="556">
        <f>SUM(O7:O36)</f>
        <v>1</v>
      </c>
    </row>
    <row r="42" spans="1:15" ht="15" customHeight="1">
      <c r="B42" s="339"/>
      <c r="C42" s="344"/>
      <c r="D42" s="344"/>
      <c r="K42" s="55"/>
      <c r="L42" s="282"/>
      <c r="M42" s="592"/>
      <c r="N42" s="592"/>
      <c r="O42" s="55"/>
    </row>
    <row r="43" spans="1:15" ht="15" customHeight="1">
      <c r="B43" s="339"/>
      <c r="C43" s="344"/>
      <c r="D43" s="344"/>
      <c r="K43" s="3" t="s">
        <v>67</v>
      </c>
      <c r="L43" s="281"/>
      <c r="M43" s="593"/>
      <c r="N43" s="593"/>
      <c r="O43" s="3"/>
    </row>
    <row r="44" spans="1:15" ht="15" customHeight="1">
      <c r="B44" s="339"/>
      <c r="C44" s="344"/>
      <c r="D44" s="344"/>
      <c r="E44" s="341"/>
      <c r="K44" s="343" t="s">
        <v>26</v>
      </c>
      <c r="L44" s="863">
        <v>0.4</v>
      </c>
    </row>
    <row r="45" spans="1:15" ht="15" customHeight="1">
      <c r="B45" s="339"/>
      <c r="C45" s="344"/>
      <c r="D45" s="344"/>
      <c r="E45" s="344"/>
      <c r="F45" s="413"/>
      <c r="K45" s="343" t="s">
        <v>61</v>
      </c>
      <c r="L45" s="863">
        <v>0.6</v>
      </c>
    </row>
    <row r="46" spans="1:15" ht="15" customHeight="1">
      <c r="A46" s="370"/>
      <c r="B46" s="371"/>
      <c r="C46" s="462"/>
      <c r="D46" s="463"/>
      <c r="E46" s="99"/>
      <c r="F46" s="415"/>
      <c r="I46" s="413"/>
      <c r="K46" s="343"/>
      <c r="L46" s="388"/>
    </row>
    <row r="47" spans="1:15" ht="15" customHeight="1">
      <c r="A47" s="283"/>
      <c r="B47" s="284"/>
      <c r="C47" s="463"/>
      <c r="D47" s="463"/>
      <c r="E47" s="99"/>
      <c r="F47" s="415"/>
      <c r="I47" s="414"/>
      <c r="K47" s="343"/>
      <c r="L47" s="388"/>
    </row>
    <row r="48" spans="1:15" s="343" customFormat="1" ht="15" customHeight="1">
      <c r="A48" s="370"/>
      <c r="B48" s="284"/>
      <c r="C48" s="463"/>
      <c r="D48" s="463"/>
      <c r="E48" s="2"/>
      <c r="F48" s="102"/>
      <c r="H48" s="387"/>
      <c r="I48" s="102"/>
      <c r="J48" s="102"/>
      <c r="K48" s="2"/>
      <c r="L48" s="2"/>
      <c r="M48" s="340"/>
      <c r="N48" s="340"/>
      <c r="O48" s="2"/>
    </row>
    <row r="49" spans="1:15" s="343" customFormat="1" ht="14.25" customHeight="1">
      <c r="A49" s="386"/>
      <c r="B49" s="464"/>
      <c r="C49" s="404"/>
      <c r="D49" s="404"/>
      <c r="E49" s="400"/>
      <c r="G49" s="102"/>
      <c r="I49" s="387"/>
      <c r="J49" s="102"/>
      <c r="L49" s="388"/>
      <c r="M49" s="340"/>
      <c r="N49" s="340"/>
      <c r="O49" s="2"/>
    </row>
    <row r="50" spans="1:15" s="343" customFormat="1" ht="15" customHeight="1">
      <c r="B50" s="394"/>
      <c r="C50" s="401"/>
      <c r="D50" s="401"/>
      <c r="E50" s="392"/>
      <c r="G50" s="102"/>
      <c r="I50" s="387"/>
      <c r="J50" s="102"/>
      <c r="K50" s="1041"/>
      <c r="L50" s="1041"/>
      <c r="M50" s="1041"/>
      <c r="N50" s="1041"/>
      <c r="O50" s="1041"/>
    </row>
    <row r="51" spans="1:15" s="343" customFormat="1" ht="15" customHeight="1">
      <c r="B51" s="395"/>
      <c r="C51" s="401"/>
      <c r="D51" s="401"/>
      <c r="E51" s="392"/>
      <c r="F51" s="391"/>
      <c r="G51" s="102"/>
      <c r="I51" s="387"/>
      <c r="J51" s="102"/>
      <c r="L51" s="388"/>
      <c r="M51" s="387"/>
      <c r="N51" s="387"/>
    </row>
    <row r="52" spans="1:15" s="343" customFormat="1" ht="15" customHeight="1">
      <c r="B52" s="396"/>
      <c r="C52" s="401"/>
      <c r="D52" s="401"/>
      <c r="E52" s="392"/>
      <c r="G52" s="102"/>
      <c r="I52" s="387"/>
      <c r="J52" s="102"/>
      <c r="K52" s="102"/>
      <c r="M52" s="387"/>
      <c r="N52" s="387"/>
    </row>
    <row r="53" spans="1:15" s="343" customFormat="1" ht="15" customHeight="1">
      <c r="B53" s="395"/>
      <c r="C53" s="401"/>
      <c r="D53" s="465"/>
      <c r="E53" s="393"/>
      <c r="G53" s="102"/>
      <c r="I53" s="387"/>
      <c r="J53" s="102"/>
      <c r="M53" s="387"/>
      <c r="N53" s="387"/>
    </row>
    <row r="54" spans="1:15" s="343" customFormat="1" ht="15" customHeight="1">
      <c r="B54" s="395"/>
      <c r="C54" s="401"/>
      <c r="D54" s="402"/>
      <c r="E54" s="392"/>
      <c r="G54" s="102"/>
      <c r="I54" s="387"/>
      <c r="J54" s="102"/>
      <c r="M54" s="387"/>
      <c r="N54" s="387"/>
    </row>
    <row r="55" spans="1:15" s="343" customFormat="1" ht="15" customHeight="1">
      <c r="B55" s="396"/>
      <c r="C55" s="401"/>
      <c r="D55" s="401"/>
      <c r="E55" s="392"/>
      <c r="G55" s="102"/>
      <c r="I55" s="387"/>
      <c r="J55" s="102"/>
      <c r="M55" s="387"/>
      <c r="N55" s="387"/>
    </row>
    <row r="56" spans="1:15" s="343" customFormat="1" ht="15" customHeight="1">
      <c r="B56" s="397"/>
      <c r="C56" s="401"/>
      <c r="D56" s="401"/>
      <c r="E56" s="392"/>
      <c r="G56" s="102"/>
      <c r="I56" s="387"/>
      <c r="J56" s="102"/>
      <c r="M56" s="387"/>
      <c r="N56" s="387"/>
    </row>
    <row r="57" spans="1:15" s="343" customFormat="1" ht="15" customHeight="1">
      <c r="B57" s="394"/>
      <c r="C57" s="401"/>
      <c r="D57" s="401"/>
      <c r="E57" s="392"/>
      <c r="G57" s="102"/>
      <c r="I57" s="387"/>
      <c r="J57" s="102"/>
      <c r="M57" s="387"/>
      <c r="N57" s="387"/>
    </row>
    <row r="58" spans="1:15" s="343" customFormat="1" ht="15" customHeight="1">
      <c r="B58" s="395"/>
      <c r="C58" s="401"/>
      <c r="D58" s="401"/>
      <c r="E58" s="392"/>
      <c r="G58" s="102"/>
      <c r="I58" s="387"/>
      <c r="J58" s="102"/>
      <c r="M58" s="387"/>
      <c r="N58" s="387"/>
    </row>
    <row r="59" spans="1:15" s="343" customFormat="1" ht="15" customHeight="1">
      <c r="B59" s="396"/>
      <c r="C59" s="401"/>
      <c r="D59" s="401"/>
      <c r="E59" s="392"/>
      <c r="G59" s="102"/>
      <c r="I59" s="387"/>
      <c r="J59" s="102"/>
      <c r="M59" s="387"/>
      <c r="N59" s="387"/>
    </row>
    <row r="60" spans="1:15" s="343" customFormat="1" ht="15" customHeight="1">
      <c r="B60" s="395"/>
      <c r="C60" s="401"/>
      <c r="D60" s="401"/>
      <c r="E60" s="392"/>
      <c r="G60" s="102"/>
      <c r="I60" s="387"/>
      <c r="J60" s="102"/>
      <c r="M60" s="387"/>
      <c r="N60" s="387"/>
    </row>
    <row r="61" spans="1:15" s="343" customFormat="1" ht="15" customHeight="1">
      <c r="B61" s="397"/>
      <c r="C61" s="401"/>
      <c r="D61" s="401"/>
      <c r="E61" s="392"/>
      <c r="G61" s="102"/>
      <c r="I61" s="387"/>
      <c r="J61" s="102"/>
      <c r="K61" s="102"/>
      <c r="M61" s="387"/>
      <c r="N61" s="387"/>
    </row>
    <row r="62" spans="1:15" s="343" customFormat="1" ht="15" customHeight="1">
      <c r="B62" s="396"/>
      <c r="C62" s="401"/>
      <c r="D62" s="401"/>
      <c r="E62" s="392"/>
      <c r="G62" s="102"/>
      <c r="I62" s="387"/>
      <c r="J62" s="102"/>
      <c r="K62" s="102"/>
      <c r="M62" s="387"/>
      <c r="N62" s="387"/>
    </row>
    <row r="63" spans="1:15" s="343" customFormat="1" ht="15" customHeight="1">
      <c r="B63" s="395"/>
      <c r="C63" s="401"/>
      <c r="D63" s="402"/>
      <c r="E63" s="392"/>
      <c r="G63" s="102"/>
      <c r="I63" s="387"/>
      <c r="J63" s="102"/>
      <c r="K63" s="102"/>
      <c r="M63" s="387"/>
      <c r="N63" s="387"/>
    </row>
    <row r="64" spans="1:15" s="343" customFormat="1" ht="15" customHeight="1">
      <c r="B64" s="398"/>
      <c r="C64" s="399"/>
      <c r="D64" s="403"/>
      <c r="E64" s="392"/>
      <c r="G64" s="102"/>
      <c r="I64" s="387"/>
      <c r="J64" s="102"/>
      <c r="K64" s="102"/>
      <c r="M64" s="387"/>
      <c r="N64" s="387"/>
    </row>
    <row r="65" spans="2:14" s="343" customFormat="1" ht="15" customHeight="1">
      <c r="B65" s="395"/>
      <c r="C65" s="401"/>
      <c r="D65" s="402"/>
      <c r="E65" s="393"/>
      <c r="G65" s="102"/>
      <c r="I65" s="387"/>
      <c r="J65" s="102"/>
      <c r="K65" s="102"/>
      <c r="M65" s="387"/>
      <c r="N65" s="387"/>
    </row>
    <row r="66" spans="2:14" s="343" customFormat="1" ht="15" customHeight="1">
      <c r="B66" s="395"/>
      <c r="C66" s="401"/>
      <c r="D66" s="402"/>
      <c r="E66" s="393"/>
      <c r="G66" s="102"/>
      <c r="I66" s="387"/>
      <c r="J66" s="102"/>
      <c r="K66" s="102"/>
      <c r="M66" s="387"/>
      <c r="N66" s="387"/>
    </row>
    <row r="67" spans="2:14" s="343" customFormat="1" ht="15" customHeight="1">
      <c r="B67" s="395"/>
      <c r="C67" s="401"/>
      <c r="D67" s="402"/>
      <c r="E67" s="393"/>
      <c r="G67" s="102"/>
      <c r="I67" s="387"/>
      <c r="J67" s="102"/>
      <c r="K67" s="102"/>
      <c r="M67" s="387"/>
      <c r="N67" s="387"/>
    </row>
    <row r="68" spans="2:14" s="343" customFormat="1" ht="15" customHeight="1">
      <c r="B68" s="398"/>
      <c r="C68" s="401"/>
      <c r="D68" s="403"/>
      <c r="E68" s="393"/>
      <c r="G68" s="102"/>
      <c r="I68" s="387"/>
      <c r="J68" s="102"/>
      <c r="K68" s="102"/>
      <c r="M68" s="387"/>
      <c r="N68" s="387"/>
    </row>
    <row r="69" spans="2:14" s="343" customFormat="1" ht="15" customHeight="1">
      <c r="B69" s="395"/>
      <c r="C69" s="401"/>
      <c r="D69" s="402"/>
      <c r="E69" s="393"/>
      <c r="G69" s="102"/>
      <c r="I69" s="387"/>
      <c r="J69" s="102"/>
      <c r="K69" s="102"/>
      <c r="M69" s="387"/>
      <c r="N69" s="387"/>
    </row>
    <row r="70" spans="2:14" s="343" customFormat="1" ht="15" customHeight="1">
      <c r="B70" s="395"/>
      <c r="C70" s="401"/>
      <c r="D70" s="402"/>
      <c r="E70" s="393"/>
      <c r="G70" s="102"/>
      <c r="I70" s="387"/>
      <c r="J70" s="102"/>
      <c r="K70" s="102"/>
      <c r="M70" s="387"/>
      <c r="N70" s="387"/>
    </row>
    <row r="71" spans="2:14" s="343" customFormat="1" ht="15" customHeight="1">
      <c r="B71" s="395"/>
      <c r="C71" s="401"/>
      <c r="D71" s="402"/>
      <c r="E71" s="393"/>
      <c r="G71" s="102"/>
      <c r="I71" s="387"/>
      <c r="J71" s="102"/>
      <c r="K71" s="102"/>
      <c r="M71" s="387"/>
      <c r="N71" s="387"/>
    </row>
    <row r="72" spans="2:14" s="343" customFormat="1" ht="15" customHeight="1">
      <c r="B72" s="395"/>
      <c r="C72" s="401"/>
      <c r="D72" s="402"/>
      <c r="E72" s="393"/>
      <c r="G72" s="102"/>
      <c r="I72" s="387"/>
      <c r="J72" s="102"/>
      <c r="K72" s="102"/>
      <c r="M72" s="387"/>
      <c r="N72" s="387"/>
    </row>
    <row r="73" spans="2:14" s="343" customFormat="1" ht="15" customHeight="1">
      <c r="B73" s="395"/>
      <c r="C73" s="401"/>
      <c r="D73" s="402"/>
      <c r="E73" s="393"/>
      <c r="G73" s="102"/>
      <c r="I73" s="387"/>
      <c r="J73" s="102"/>
      <c r="K73" s="102"/>
      <c r="M73" s="387"/>
      <c r="N73" s="387"/>
    </row>
    <row r="74" spans="2:14" s="343" customFormat="1">
      <c r="B74" s="395"/>
      <c r="C74" s="401"/>
      <c r="D74" s="402"/>
      <c r="E74" s="393"/>
      <c r="F74" s="102"/>
      <c r="H74" s="387"/>
      <c r="I74" s="102"/>
      <c r="J74" s="102"/>
      <c r="K74" s="102"/>
      <c r="M74" s="387"/>
      <c r="N74" s="387"/>
    </row>
    <row r="75" spans="2:14" s="343" customFormat="1">
      <c r="C75" s="390"/>
      <c r="D75" s="392"/>
      <c r="F75" s="102"/>
      <c r="H75" s="387"/>
      <c r="I75" s="102"/>
      <c r="J75" s="102"/>
      <c r="K75" s="102"/>
      <c r="M75" s="387"/>
      <c r="N75" s="387"/>
    </row>
    <row r="76" spans="2:14" s="343" customFormat="1">
      <c r="C76" s="390"/>
      <c r="D76" s="392"/>
      <c r="F76" s="102"/>
      <c r="H76" s="387"/>
      <c r="I76" s="102"/>
      <c r="J76" s="102"/>
      <c r="M76" s="387"/>
      <c r="N76" s="387"/>
    </row>
    <row r="77" spans="2:14" s="343" customFormat="1">
      <c r="C77" s="390"/>
      <c r="D77" s="392"/>
      <c r="F77" s="102"/>
      <c r="H77" s="387"/>
      <c r="I77" s="102"/>
      <c r="J77" s="102"/>
      <c r="M77" s="387"/>
      <c r="N77" s="387"/>
    </row>
    <row r="78" spans="2:14" s="343" customFormat="1">
      <c r="C78" s="390"/>
      <c r="D78" s="392"/>
      <c r="F78" s="102"/>
      <c r="H78" s="387"/>
      <c r="I78" s="102"/>
      <c r="J78" s="102"/>
      <c r="M78" s="387"/>
      <c r="N78" s="387"/>
    </row>
    <row r="79" spans="2:14" s="343" customFormat="1">
      <c r="C79" s="390"/>
      <c r="D79" s="392"/>
      <c r="F79" s="102"/>
      <c r="H79" s="387"/>
      <c r="I79" s="102"/>
      <c r="J79" s="102"/>
      <c r="M79" s="387"/>
      <c r="N79" s="387"/>
    </row>
    <row r="80" spans="2:14" s="343" customFormat="1">
      <c r="C80" s="390"/>
      <c r="D80" s="392"/>
      <c r="F80" s="102"/>
      <c r="H80" s="387"/>
      <c r="I80" s="102"/>
      <c r="J80" s="102"/>
      <c r="M80" s="387"/>
      <c r="N80" s="387"/>
    </row>
    <row r="81" spans="3:14" s="343" customFormat="1">
      <c r="C81" s="390"/>
      <c r="D81" s="392"/>
      <c r="F81" s="102"/>
      <c r="H81" s="387"/>
      <c r="I81" s="102"/>
      <c r="J81" s="102"/>
      <c r="M81" s="387"/>
      <c r="N81" s="387"/>
    </row>
    <row r="82" spans="3:14" s="343" customFormat="1">
      <c r="C82" s="390"/>
      <c r="D82" s="392"/>
      <c r="F82" s="102"/>
      <c r="H82" s="387"/>
      <c r="I82" s="102"/>
      <c r="J82" s="102"/>
      <c r="M82" s="387"/>
      <c r="N82" s="387"/>
    </row>
    <row r="83" spans="3:14" s="343" customFormat="1">
      <c r="C83" s="390"/>
      <c r="D83" s="392"/>
      <c r="F83" s="102"/>
      <c r="H83" s="387"/>
      <c r="I83" s="102"/>
      <c r="J83" s="102"/>
      <c r="M83" s="387"/>
      <c r="N83" s="387"/>
    </row>
    <row r="84" spans="3:14" s="343" customFormat="1">
      <c r="C84" s="390"/>
      <c r="D84" s="392"/>
      <c r="F84" s="102"/>
      <c r="H84" s="387"/>
      <c r="I84" s="102"/>
      <c r="J84" s="102"/>
      <c r="M84" s="387"/>
      <c r="N84" s="387"/>
    </row>
    <row r="85" spans="3:14" s="343" customFormat="1">
      <c r="C85" s="390"/>
      <c r="D85" s="390"/>
      <c r="F85" s="102"/>
      <c r="H85" s="387"/>
      <c r="I85" s="102"/>
      <c r="J85" s="102"/>
      <c r="M85" s="387"/>
      <c r="N85" s="387"/>
    </row>
    <row r="86" spans="3:14" s="343" customFormat="1">
      <c r="C86" s="390"/>
      <c r="D86" s="390"/>
      <c r="F86" s="102"/>
      <c r="H86" s="387"/>
      <c r="I86" s="102"/>
      <c r="J86" s="102"/>
      <c r="M86" s="387"/>
      <c r="N86" s="387"/>
    </row>
    <row r="87" spans="3:14" s="343" customFormat="1">
      <c r="C87" s="390"/>
      <c r="D87" s="390"/>
      <c r="F87" s="102"/>
      <c r="H87" s="387"/>
      <c r="I87" s="102"/>
      <c r="J87" s="102"/>
      <c r="M87" s="387"/>
      <c r="N87" s="387"/>
    </row>
    <row r="88" spans="3:14" s="343" customFormat="1">
      <c r="C88" s="390"/>
      <c r="D88" s="390"/>
      <c r="F88" s="102"/>
      <c r="H88" s="387"/>
      <c r="I88" s="102"/>
      <c r="J88" s="102"/>
      <c r="M88" s="387"/>
      <c r="N88" s="387"/>
    </row>
    <row r="89" spans="3:14" s="343" customFormat="1">
      <c r="C89" s="390"/>
      <c r="D89" s="390"/>
      <c r="F89" s="102"/>
      <c r="H89" s="387"/>
      <c r="I89" s="102"/>
      <c r="J89" s="102"/>
      <c r="M89" s="387"/>
      <c r="N89" s="387"/>
    </row>
    <row r="90" spans="3:14" s="343" customFormat="1">
      <c r="C90" s="390"/>
      <c r="D90" s="390"/>
      <c r="F90" s="102"/>
      <c r="H90" s="387"/>
      <c r="I90" s="102"/>
      <c r="J90" s="102"/>
      <c r="M90" s="387"/>
      <c r="N90" s="387"/>
    </row>
    <row r="91" spans="3:14" s="343" customFormat="1">
      <c r="C91" s="390"/>
      <c r="D91" s="390"/>
      <c r="F91" s="102"/>
      <c r="H91" s="387"/>
      <c r="I91" s="102"/>
      <c r="J91" s="102"/>
      <c r="M91" s="387"/>
      <c r="N91" s="387"/>
    </row>
    <row r="92" spans="3:14" s="343" customFormat="1">
      <c r="C92" s="390"/>
      <c r="D92" s="390"/>
      <c r="F92" s="102"/>
      <c r="H92" s="387"/>
      <c r="I92" s="102"/>
      <c r="J92" s="102"/>
      <c r="M92" s="387"/>
      <c r="N92" s="387"/>
    </row>
    <row r="93" spans="3:14" s="343" customFormat="1">
      <c r="C93" s="390"/>
      <c r="D93" s="390"/>
      <c r="F93" s="102"/>
      <c r="H93" s="387"/>
      <c r="I93" s="102"/>
      <c r="J93" s="102"/>
      <c r="M93" s="387"/>
      <c r="N93" s="387"/>
    </row>
    <row r="94" spans="3:14" s="343" customFormat="1">
      <c r="C94" s="390"/>
      <c r="D94" s="390"/>
      <c r="F94" s="102"/>
      <c r="H94" s="387"/>
      <c r="I94" s="102"/>
      <c r="J94" s="102"/>
      <c r="M94" s="387"/>
      <c r="N94" s="387"/>
    </row>
    <row r="95" spans="3:14" s="343" customFormat="1">
      <c r="C95" s="390"/>
      <c r="D95" s="390"/>
      <c r="F95" s="102"/>
      <c r="H95" s="387"/>
      <c r="I95" s="102"/>
      <c r="J95" s="102"/>
      <c r="M95" s="387"/>
      <c r="N95" s="387"/>
    </row>
    <row r="96" spans="3:14" s="343" customFormat="1">
      <c r="C96" s="390"/>
      <c r="D96" s="390"/>
      <c r="F96" s="102"/>
      <c r="H96" s="387"/>
      <c r="I96" s="102"/>
      <c r="J96" s="102"/>
      <c r="M96" s="387"/>
      <c r="N96" s="387"/>
    </row>
    <row r="97" spans="3:15" s="343" customFormat="1">
      <c r="C97" s="390"/>
      <c r="D97" s="390"/>
      <c r="F97" s="102"/>
      <c r="H97" s="387"/>
      <c r="I97" s="102"/>
      <c r="J97" s="102"/>
      <c r="M97" s="387"/>
      <c r="N97" s="387"/>
    </row>
    <row r="98" spans="3:15" s="343" customFormat="1">
      <c r="C98" s="390"/>
      <c r="D98" s="390"/>
      <c r="F98" s="102"/>
      <c r="H98" s="387"/>
      <c r="I98" s="102"/>
      <c r="J98" s="102"/>
      <c r="M98" s="387"/>
      <c r="N98" s="387"/>
    </row>
    <row r="99" spans="3:15">
      <c r="K99" s="343"/>
      <c r="L99" s="343"/>
      <c r="M99" s="387"/>
      <c r="N99" s="387"/>
      <c r="O99" s="343"/>
    </row>
    <row r="100" spans="3:15">
      <c r="K100" s="343"/>
      <c r="L100" s="343"/>
      <c r="M100" s="387"/>
      <c r="N100" s="387"/>
      <c r="O100" s="343"/>
    </row>
  </sheetData>
  <sheetProtection password="D6C3" sheet="1" selectLockedCells="1"/>
  <mergeCells count="4">
    <mergeCell ref="A2:I2"/>
    <mergeCell ref="C3:I3"/>
    <mergeCell ref="K50:O50"/>
    <mergeCell ref="M4:O4"/>
  </mergeCells>
  <phoneticPr fontId="0" type="noConversion"/>
  <pageMargins left="0.75" right="0.75" top="1" bottom="1" header="0.5" footer="0.5"/>
  <pageSetup scale="70" orientation="landscape"/>
  <headerFooter alignWithMargins="0">
    <oddFooter>&amp;L&amp;12Steward Fee Setting Methodology&amp;R&amp;12Stewardship Ontario, 
August 24, 2009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53"/>
    <pageSetUpPr fitToPage="1"/>
  </sheetPr>
  <dimension ref="A1:U55"/>
  <sheetViews>
    <sheetView showGridLines="0" zoomScale="85" workbookViewId="0">
      <pane xSplit="3" ySplit="5" topLeftCell="D6" activePane="bottomRight" state="frozen"/>
      <selection activeCell="B14" sqref="B14"/>
      <selection pane="topRight" activeCell="B14" sqref="B14"/>
      <selection pane="bottomLeft" activeCell="B14" sqref="B14"/>
      <selection pane="bottomRight" activeCell="D6" sqref="D6"/>
    </sheetView>
  </sheetViews>
  <sheetFormatPr baseColWidth="10" defaultColWidth="8.83203125" defaultRowHeight="12" x14ac:dyDescent="0"/>
  <cols>
    <col min="1" max="1" width="20" style="3" customWidth="1"/>
    <col min="2" max="2" width="25.6640625" style="281" customWidth="1"/>
    <col min="3" max="3" width="11.1640625" style="473" customWidth="1"/>
    <col min="4" max="4" width="13.33203125" style="474" customWidth="1"/>
    <col min="5" max="5" width="15.83203125" style="475" customWidth="1"/>
    <col min="6" max="6" width="1.5" style="474" customWidth="1"/>
    <col min="7" max="7" width="10.5" style="475" customWidth="1"/>
    <col min="8" max="8" width="15.83203125" style="281" customWidth="1"/>
    <col min="9" max="9" width="1.1640625" style="281" customWidth="1"/>
    <col min="10" max="10" width="15" style="475" customWidth="1"/>
    <col min="11" max="11" width="16.33203125" style="475" customWidth="1"/>
    <col min="12" max="12" width="10" style="281" customWidth="1"/>
    <col min="13" max="14" width="8.83203125" style="281" customWidth="1"/>
    <col min="15" max="15" width="1" style="281" customWidth="1"/>
    <col min="16" max="16" width="18.33203125" style="281" customWidth="1"/>
    <col min="17" max="17" width="12.1640625" style="281" customWidth="1"/>
    <col min="18" max="19" width="10.1640625" style="281" customWidth="1"/>
    <col min="20" max="20" width="15" style="281" bestFit="1" customWidth="1"/>
    <col min="21" max="21" width="14.33203125" style="281" bestFit="1" customWidth="1"/>
    <col min="22" max="16384" width="8.83203125" style="281"/>
  </cols>
  <sheetData>
    <row r="1" spans="1:21" ht="23">
      <c r="A1" s="412" t="s">
        <v>76</v>
      </c>
    </row>
    <row r="2" spans="1:21" ht="12.75" customHeight="1" thickBot="1">
      <c r="C2" s="477"/>
      <c r="D2" s="478"/>
      <c r="E2" s="479"/>
      <c r="F2" s="478"/>
      <c r="G2" s="479"/>
      <c r="H2" s="476"/>
      <c r="I2" s="476"/>
      <c r="J2" s="479"/>
      <c r="K2" s="479"/>
      <c r="L2" s="476"/>
      <c r="M2" s="476"/>
      <c r="N2" s="476"/>
      <c r="O2" s="476"/>
      <c r="P2" s="476"/>
      <c r="Q2" s="476"/>
      <c r="R2" s="476"/>
    </row>
    <row r="3" spans="1:21" ht="17.25" customHeight="1" thickBot="1">
      <c r="A3" s="1045"/>
      <c r="B3" s="1045"/>
      <c r="C3" s="1045"/>
      <c r="D3" s="1045"/>
      <c r="E3" s="1045"/>
      <c r="F3" s="478"/>
      <c r="G3" s="479"/>
      <c r="H3" s="480"/>
      <c r="I3" s="480">
        <v>0.92564000000000002</v>
      </c>
      <c r="J3" s="479"/>
      <c r="K3" s="479"/>
      <c r="L3" s="476"/>
      <c r="M3" s="476"/>
      <c r="N3" s="476"/>
      <c r="O3" s="476"/>
      <c r="P3" s="481"/>
      <c r="Q3" s="481"/>
      <c r="R3" s="594" t="s">
        <v>69</v>
      </c>
      <c r="S3" s="595">
        <f>Inputs!B7/100</f>
        <v>0.6</v>
      </c>
    </row>
    <row r="4" spans="1:21" ht="16" thickBot="1">
      <c r="A4" s="4"/>
      <c r="B4" s="476"/>
      <c r="C4" s="482"/>
      <c r="D4" s="1052" t="s">
        <v>99</v>
      </c>
      <c r="E4" s="1053"/>
      <c r="F4" s="366"/>
      <c r="G4" s="1049" t="s">
        <v>24</v>
      </c>
      <c r="H4" s="1051"/>
      <c r="I4" s="7"/>
      <c r="J4" s="1049" t="s">
        <v>47</v>
      </c>
      <c r="K4" s="1050"/>
      <c r="L4" s="1050"/>
      <c r="M4" s="1050"/>
      <c r="N4" s="1051"/>
      <c r="O4" s="8"/>
      <c r="P4" s="1046">
        <f>S3</f>
        <v>0.6</v>
      </c>
      <c r="Q4" s="1047"/>
      <c r="R4" s="1047"/>
      <c r="S4" s="1048"/>
    </row>
    <row r="5" spans="1:21" s="493" customFormat="1" ht="40.5" customHeight="1">
      <c r="A5" s="345" t="s">
        <v>31</v>
      </c>
      <c r="B5" s="346" t="s">
        <v>27</v>
      </c>
      <c r="C5" s="483" t="s">
        <v>79</v>
      </c>
      <c r="D5" s="484" t="s">
        <v>82</v>
      </c>
      <c r="E5" s="485" t="s">
        <v>32</v>
      </c>
      <c r="F5" s="486"/>
      <c r="G5" s="487" t="s">
        <v>82</v>
      </c>
      <c r="H5" s="485" t="s">
        <v>83</v>
      </c>
      <c r="I5" s="486"/>
      <c r="J5" s="487" t="s">
        <v>82</v>
      </c>
      <c r="K5" s="488" t="s">
        <v>84</v>
      </c>
      <c r="L5" s="488" t="s">
        <v>85</v>
      </c>
      <c r="M5" s="489" t="s">
        <v>86</v>
      </c>
      <c r="N5" s="490" t="s">
        <v>87</v>
      </c>
      <c r="O5" s="489"/>
      <c r="P5" s="487" t="s">
        <v>138</v>
      </c>
      <c r="Q5" s="491" t="s">
        <v>139</v>
      </c>
      <c r="R5" s="488" t="s">
        <v>86</v>
      </c>
      <c r="S5" s="492" t="s">
        <v>87</v>
      </c>
    </row>
    <row r="6" spans="1:21" s="3" customFormat="1" ht="15" customHeight="1">
      <c r="A6" s="10" t="s">
        <v>44</v>
      </c>
      <c r="B6" s="11"/>
      <c r="C6" s="347"/>
      <c r="D6" s="15"/>
      <c r="E6" s="16"/>
      <c r="F6" s="17"/>
      <c r="G6" s="15"/>
      <c r="H6" s="16"/>
      <c r="I6" s="17"/>
      <c r="J6" s="15"/>
      <c r="K6" s="18"/>
      <c r="L6" s="12"/>
      <c r="M6" s="19"/>
      <c r="N6" s="20"/>
      <c r="O6" s="19"/>
      <c r="P6" s="21"/>
      <c r="Q6" s="636"/>
      <c r="R6" s="636"/>
      <c r="S6" s="662"/>
    </row>
    <row r="7" spans="1:21" ht="15" customHeight="1">
      <c r="A7" s="22" t="s">
        <v>0</v>
      </c>
      <c r="B7" s="416" t="s">
        <v>96</v>
      </c>
      <c r="C7" s="494">
        <f>'Sheet 1 Gen &amp; Rec'!E7</f>
        <v>206751.73636171196</v>
      </c>
      <c r="D7" s="495">
        <f>Inputs!E13</f>
        <v>134.17017893629034</v>
      </c>
      <c r="E7" s="496">
        <f>C7*D7</f>
        <v>27739917.463039618</v>
      </c>
      <c r="F7" s="497"/>
      <c r="G7" s="495">
        <f>Inputs!F13</f>
        <v>87.517175107283961</v>
      </c>
      <c r="H7" s="496">
        <f>C7*G7</f>
        <v>18094327.914902955</v>
      </c>
      <c r="I7" s="497"/>
      <c r="J7" s="495">
        <f>IF(C7=0,0,K7/C7)</f>
        <v>46.653003829006366</v>
      </c>
      <c r="K7" s="498">
        <f>E7-H7</f>
        <v>9645589.5481366627</v>
      </c>
      <c r="L7" s="639">
        <f t="shared" ref="L7:L12" si="0">K7/K$41</f>
        <v>5.1608652517236259E-2</v>
      </c>
      <c r="M7" s="644">
        <f>K7/K$12</f>
        <v>0.38012878251256704</v>
      </c>
      <c r="N7" s="645"/>
      <c r="O7" s="499"/>
      <c r="P7" s="24">
        <f>MAX(0,'Sheet 1 Gen &amp; Rec'!C7*'Sheet 2 Gross &amp; Net Costs'!S$3*'Sheet 2 Gross &amp; Net Costs'!J7-'Sheet 2 Gross &amp; Net Costs'!K7)</f>
        <v>0</v>
      </c>
      <c r="Q7" s="639">
        <f t="shared" ref="Q7:Q12" si="1">P7/P$41</f>
        <v>0</v>
      </c>
      <c r="R7" s="639">
        <f t="shared" ref="R7:R12" si="2">IF($S$3=0,0,P7/P$12)</f>
        <v>0</v>
      </c>
      <c r="S7" s="663"/>
      <c r="U7" s="473"/>
    </row>
    <row r="8" spans="1:21" ht="15" customHeight="1">
      <c r="A8" s="22"/>
      <c r="B8" s="417" t="s">
        <v>74</v>
      </c>
      <c r="C8" s="500">
        <f>'Sheet 1 Gen &amp; Rec'!E8</f>
        <v>114096.83239471447</v>
      </c>
      <c r="D8" s="495">
        <f>Inputs!E14</f>
        <v>134.17017893629034</v>
      </c>
      <c r="E8" s="496">
        <f>C8*D8</f>
        <v>15308392.418462768</v>
      </c>
      <c r="F8" s="497"/>
      <c r="G8" s="495">
        <f>Inputs!F14</f>
        <v>87.517175107283961</v>
      </c>
      <c r="H8" s="496">
        <f>C8*G8</f>
        <v>9985432.4598746561</v>
      </c>
      <c r="I8" s="497"/>
      <c r="J8" s="495">
        <f>IF(C8=0,0,K8/C8)</f>
        <v>46.653003829006373</v>
      </c>
      <c r="K8" s="498">
        <f>E8-H8</f>
        <v>5322959.9585881121</v>
      </c>
      <c r="L8" s="639">
        <f t="shared" si="0"/>
        <v>2.848045622250274E-2</v>
      </c>
      <c r="M8" s="644">
        <f>K8/K$12</f>
        <v>0.20977569886457861</v>
      </c>
      <c r="N8" s="645"/>
      <c r="O8" s="499"/>
      <c r="P8" s="24">
        <f>MAX(0,'Sheet 1 Gen &amp; Rec'!C8*'Sheet 2 Gross &amp; Net Costs'!S$3*'Sheet 2 Gross &amp; Net Costs'!J8-'Sheet 2 Gross &amp; Net Costs'!K8)</f>
        <v>0</v>
      </c>
      <c r="Q8" s="639">
        <f t="shared" si="1"/>
        <v>0</v>
      </c>
      <c r="R8" s="639">
        <f t="shared" si="2"/>
        <v>0</v>
      </c>
      <c r="S8" s="663"/>
      <c r="U8" s="473"/>
    </row>
    <row r="9" spans="1:21" ht="15" customHeight="1">
      <c r="A9" s="22"/>
      <c r="B9" s="501" t="s">
        <v>3</v>
      </c>
      <c r="C9" s="502">
        <f>'Sheet 1 Gen &amp; Rec'!E9</f>
        <v>80662.528283207997</v>
      </c>
      <c r="D9" s="495">
        <f>Inputs!E15</f>
        <v>134.17017893629034</v>
      </c>
      <c r="E9" s="496">
        <f>C9*D9</f>
        <v>10822505.853211598</v>
      </c>
      <c r="F9" s="497"/>
      <c r="G9" s="495">
        <f>Inputs!F15</f>
        <v>87.517175107283961</v>
      </c>
      <c r="H9" s="496">
        <f>C9*G9</f>
        <v>7059356.6123577598</v>
      </c>
      <c r="I9" s="497"/>
      <c r="J9" s="495">
        <f>IF(C9=0,0,K9/C9)</f>
        <v>46.653003829006387</v>
      </c>
      <c r="K9" s="498">
        <f>E9-H9</f>
        <v>3763149.2408538386</v>
      </c>
      <c r="L9" s="639">
        <f t="shared" si="0"/>
        <v>2.0134701002205192E-2</v>
      </c>
      <c r="M9" s="644">
        <f>K9/K$12</f>
        <v>0.14830418941216519</v>
      </c>
      <c r="N9" s="645"/>
      <c r="O9" s="499"/>
      <c r="P9" s="24">
        <f>MAX(0,'Sheet 1 Gen &amp; Rec'!C9*'Sheet 2 Gross &amp; Net Costs'!S$3*'Sheet 2 Gross &amp; Net Costs'!J9-'Sheet 2 Gross &amp; Net Costs'!K9)</f>
        <v>0</v>
      </c>
      <c r="Q9" s="639">
        <f t="shared" si="1"/>
        <v>0</v>
      </c>
      <c r="R9" s="639">
        <f t="shared" si="2"/>
        <v>0</v>
      </c>
      <c r="S9" s="663"/>
      <c r="U9" s="473"/>
    </row>
    <row r="10" spans="1:21" ht="15" customHeight="1">
      <c r="A10" s="27"/>
      <c r="B10" s="503" t="s">
        <v>1</v>
      </c>
      <c r="C10" s="502">
        <f>'Sheet 1 Gen &amp; Rec'!E10</f>
        <v>10094.299527801057</v>
      </c>
      <c r="D10" s="495">
        <f>Inputs!E16</f>
        <v>268.19904544031499</v>
      </c>
      <c r="E10" s="504">
        <f>C10*D10</f>
        <v>2707281.4977448657</v>
      </c>
      <c r="F10" s="505"/>
      <c r="G10" s="495">
        <f>Inputs!F16</f>
        <v>82.199532244756981</v>
      </c>
      <c r="H10" s="504">
        <f>C10*G10</f>
        <v>829746.6995237181</v>
      </c>
      <c r="I10" s="505"/>
      <c r="J10" s="506">
        <f>IF(C10=0,0,K10/C10)</f>
        <v>185.999513195558</v>
      </c>
      <c r="K10" s="507">
        <f>E10-H10</f>
        <v>1877534.7982211476</v>
      </c>
      <c r="L10" s="640">
        <f t="shared" si="0"/>
        <v>1.0045735463534534E-2</v>
      </c>
      <c r="M10" s="644">
        <f>K10/K$12</f>
        <v>7.3992886947035472E-2</v>
      </c>
      <c r="N10" s="646"/>
      <c r="O10" s="508"/>
      <c r="P10" s="24">
        <f>MAX(0,'Sheet 1 Gen &amp; Rec'!C10*'Sheet 2 Gross &amp; Net Costs'!S$3*'Sheet 2 Gross &amp; Net Costs'!J10-'Sheet 2 Gross &amp; Net Costs'!K10)</f>
        <v>0</v>
      </c>
      <c r="Q10" s="639">
        <f t="shared" si="1"/>
        <v>0</v>
      </c>
      <c r="R10" s="639">
        <f t="shared" si="2"/>
        <v>0</v>
      </c>
      <c r="S10" s="663"/>
      <c r="U10" s="473"/>
    </row>
    <row r="11" spans="1:21" ht="15" customHeight="1">
      <c r="A11" s="29"/>
      <c r="B11" s="509" t="s">
        <v>2</v>
      </c>
      <c r="C11" s="502">
        <f>'Sheet 1 Gen &amp; Rec'!E11</f>
        <v>63363.966785561934</v>
      </c>
      <c r="D11" s="495">
        <f>Inputs!E17</f>
        <v>161.59841020727407</v>
      </c>
      <c r="E11" s="510">
        <f>C11*D11</f>
        <v>10239516.296973327</v>
      </c>
      <c r="F11" s="511"/>
      <c r="G11" s="495">
        <f>Inputs!F17</f>
        <v>86.393248298732004</v>
      </c>
      <c r="H11" s="510">
        <f>C11*G11</f>
        <v>5474218.9156976594</v>
      </c>
      <c r="I11" s="511"/>
      <c r="J11" s="512">
        <f>IF(C11=0,0,K11/C11)</f>
        <v>75.205161908542081</v>
      </c>
      <c r="K11" s="513">
        <f>E11-H11</f>
        <v>4765297.3812756678</v>
      </c>
      <c r="L11" s="641">
        <f t="shared" si="0"/>
        <v>2.5496686901741613E-2</v>
      </c>
      <c r="M11" s="644">
        <f>K11/K$12</f>
        <v>0.18779844226365358</v>
      </c>
      <c r="N11" s="647"/>
      <c r="O11" s="514"/>
      <c r="P11" s="24">
        <f>MAX(0,'Sheet 1 Gen &amp; Rec'!C11*'Sheet 2 Gross &amp; Net Costs'!S$3*'Sheet 2 Gross &amp; Net Costs'!J11-'Sheet 2 Gross &amp; Net Costs'!K11)</f>
        <v>380121.87481290847</v>
      </c>
      <c r="Q11" s="639">
        <f t="shared" si="1"/>
        <v>2.1405557388751461E-3</v>
      </c>
      <c r="R11" s="639">
        <f t="shared" si="2"/>
        <v>1</v>
      </c>
      <c r="S11" s="663"/>
      <c r="U11" s="473"/>
    </row>
    <row r="12" spans="1:21" s="3" customFormat="1" ht="15" customHeight="1" thickBot="1">
      <c r="A12" s="31" t="s">
        <v>37</v>
      </c>
      <c r="B12" s="32"/>
      <c r="C12" s="467">
        <f>SUM(C7:C11)</f>
        <v>474969.36335299746</v>
      </c>
      <c r="D12" s="35">
        <f>ROUND(E12/C12,1)</f>
        <v>140.69999999999999</v>
      </c>
      <c r="E12" s="36">
        <f>SUM(E7:E11)</f>
        <v>66817613.529432178</v>
      </c>
      <c r="F12" s="37"/>
      <c r="G12" s="38">
        <f>H12/$C12</f>
        <v>87.254222693003939</v>
      </c>
      <c r="H12" s="36">
        <f>SUM(H7:H11)</f>
        <v>41443082.602356747</v>
      </c>
      <c r="I12" s="37"/>
      <c r="J12" s="38">
        <f>K12/$C12</f>
        <v>53.42351083014394</v>
      </c>
      <c r="K12" s="39">
        <f>SUM(K7:K11)</f>
        <v>25374530.927075431</v>
      </c>
      <c r="L12" s="634">
        <f t="shared" si="0"/>
        <v>0.13576623210722036</v>
      </c>
      <c r="M12" s="648">
        <f>SUM(M7:M11)</f>
        <v>0.99999999999999989</v>
      </c>
      <c r="N12" s="649"/>
      <c r="O12" s="40"/>
      <c r="P12" s="42">
        <f>SUM(P7:P11)</f>
        <v>380121.87481290847</v>
      </c>
      <c r="Q12" s="638">
        <f t="shared" si="1"/>
        <v>2.1405557388751461E-3</v>
      </c>
      <c r="R12" s="638">
        <f t="shared" si="2"/>
        <v>1</v>
      </c>
      <c r="S12" s="664"/>
      <c r="U12" s="847"/>
    </row>
    <row r="13" spans="1:21" s="55" customFormat="1" ht="7.5" customHeight="1" thickBot="1">
      <c r="A13" s="43"/>
      <c r="B13" s="44"/>
      <c r="C13" s="468"/>
      <c r="D13" s="48"/>
      <c r="E13" s="49"/>
      <c r="F13" s="50"/>
      <c r="G13" s="51"/>
      <c r="H13" s="49"/>
      <c r="I13" s="50"/>
      <c r="J13" s="51"/>
      <c r="K13" s="52"/>
      <c r="L13" s="629"/>
      <c r="M13" s="650"/>
      <c r="N13" s="651"/>
      <c r="O13" s="53"/>
      <c r="P13" s="54"/>
      <c r="Q13" s="665"/>
      <c r="R13" s="665"/>
      <c r="S13" s="666"/>
    </row>
    <row r="14" spans="1:21" s="55" customFormat="1" ht="15" customHeight="1">
      <c r="A14" s="56" t="s">
        <v>43</v>
      </c>
      <c r="B14" s="57"/>
      <c r="C14" s="469"/>
      <c r="D14" s="58"/>
      <c r="E14" s="59"/>
      <c r="F14" s="60"/>
      <c r="G14" s="61"/>
      <c r="H14" s="59"/>
      <c r="I14" s="60"/>
      <c r="J14" s="61"/>
      <c r="K14" s="62"/>
      <c r="L14" s="642"/>
      <c r="M14" s="652"/>
      <c r="N14" s="653"/>
      <c r="O14" s="63"/>
      <c r="P14" s="64"/>
      <c r="Q14" s="642"/>
      <c r="R14" s="642"/>
      <c r="S14" s="667"/>
    </row>
    <row r="15" spans="1:21" ht="15" customHeight="1">
      <c r="A15" s="22" t="s">
        <v>52</v>
      </c>
      <c r="B15" s="501" t="s">
        <v>5</v>
      </c>
      <c r="C15" s="502">
        <f>'Sheet 1 Gen &amp; Rec'!E15</f>
        <v>149770.91598241351</v>
      </c>
      <c r="D15" s="495">
        <f>Inputs!E19</f>
        <v>510.81208080323353</v>
      </c>
      <c r="E15" s="496">
        <f>C15*D15</f>
        <v>76504793.236782908</v>
      </c>
      <c r="F15" s="497"/>
      <c r="G15" s="515">
        <f>Inputs!F19</f>
        <v>94.483601885016057</v>
      </c>
      <c r="H15" s="496">
        <f>C15*G15</f>
        <v>14150895.599636547</v>
      </c>
      <c r="I15" s="497"/>
      <c r="J15" s="495">
        <f>IF(C15=0,0,K15/C15)</f>
        <v>416.32847891821746</v>
      </c>
      <c r="K15" s="498">
        <f>E15-H15</f>
        <v>62353897.637146361</v>
      </c>
      <c r="L15" s="639">
        <f t="shared" ref="L15:L37" si="3">K15/K$41</f>
        <v>0.33362404860700917</v>
      </c>
      <c r="M15" s="827"/>
      <c r="N15" s="645">
        <f t="shared" ref="N15:N37" si="4">K15/K$39</f>
        <v>0.3860344978424865</v>
      </c>
      <c r="O15" s="499"/>
      <c r="P15" s="24">
        <f>MAX(0,'Sheet 1 Gen &amp; Rec'!C15*'Sheet 2 Gross &amp; Net Costs'!S$3*'Sheet 2 Gross &amp; Net Costs'!J15-'Sheet 2 Gross &amp; Net Costs'!K15)</f>
        <v>0</v>
      </c>
      <c r="Q15" s="639">
        <f t="shared" ref="Q15:Q37" si="5">P15/P$41</f>
        <v>0</v>
      </c>
      <c r="R15" s="639"/>
      <c r="S15" s="663">
        <f t="shared" ref="S15:S37" si="6">IF($S$3=0,0,P15/P$39)</f>
        <v>0</v>
      </c>
      <c r="U15" s="473"/>
    </row>
    <row r="16" spans="1:21" ht="15" customHeight="1">
      <c r="A16" s="22" t="s">
        <v>41</v>
      </c>
      <c r="B16" s="501" t="s">
        <v>7</v>
      </c>
      <c r="C16" s="502">
        <f>'Sheet 1 Gen &amp; Rec'!E16</f>
        <v>4850.3883410829485</v>
      </c>
      <c r="D16" s="495">
        <f>Inputs!E20</f>
        <v>1065.3837854375424</v>
      </c>
      <c r="E16" s="496">
        <f>C16*D16</f>
        <v>5167525.0916650733</v>
      </c>
      <c r="F16" s="497"/>
      <c r="G16" s="515">
        <f>Inputs!F20</f>
        <v>72.854949076246356</v>
      </c>
      <c r="H16" s="496">
        <f>C16*G16</f>
        <v>353374.79558961728</v>
      </c>
      <c r="I16" s="497"/>
      <c r="J16" s="495">
        <f>IF(C16=0,0,K16/C16)</f>
        <v>992.52883636129604</v>
      </c>
      <c r="K16" s="498">
        <f>E16-H16</f>
        <v>4814150.2960754558</v>
      </c>
      <c r="L16" s="639">
        <f t="shared" si="3"/>
        <v>2.575807404575952E-2</v>
      </c>
      <c r="M16" s="644"/>
      <c r="N16" s="645">
        <f t="shared" si="4"/>
        <v>2.9804521649928372E-2</v>
      </c>
      <c r="O16" s="499"/>
      <c r="P16" s="24">
        <f>MAX(0,'Sheet 1 Gen &amp; Rec'!C16*'Sheet 2 Gross &amp; Net Costs'!S$3*'Sheet 2 Gross &amp; Net Costs'!J16-'Sheet 2 Gross &amp; Net Costs'!K16)</f>
        <v>3641516.4999987148</v>
      </c>
      <c r="Q16" s="639">
        <f t="shared" si="5"/>
        <v>2.0506236443554659E-2</v>
      </c>
      <c r="R16" s="639"/>
      <c r="S16" s="663">
        <f t="shared" si="6"/>
        <v>2.0550225346354978E-2</v>
      </c>
      <c r="U16" s="473"/>
    </row>
    <row r="17" spans="1:21" ht="15" customHeight="1">
      <c r="A17" s="27"/>
      <c r="B17" s="503" t="s">
        <v>23</v>
      </c>
      <c r="C17" s="502">
        <f>'Sheet 1 Gen &amp; Rec'!E17</f>
        <v>400.89684641644141</v>
      </c>
      <c r="D17" s="495">
        <f>Inputs!E21</f>
        <v>842.25332212922933</v>
      </c>
      <c r="E17" s="504">
        <f>C17*D17</f>
        <v>337656.70072537923</v>
      </c>
      <c r="F17" s="505"/>
      <c r="G17" s="515">
        <f>Inputs!F21</f>
        <v>0</v>
      </c>
      <c r="H17" s="504">
        <f>C17*G17</f>
        <v>0</v>
      </c>
      <c r="I17" s="505"/>
      <c r="J17" s="506">
        <f>IF(C17=0,0,K17/C17)</f>
        <v>842.25332212922945</v>
      </c>
      <c r="K17" s="507">
        <f>E17-H17</f>
        <v>337656.70072537923</v>
      </c>
      <c r="L17" s="640">
        <f t="shared" si="3"/>
        <v>1.8066295741579522E-3</v>
      </c>
      <c r="M17" s="654"/>
      <c r="N17" s="645">
        <f t="shared" si="4"/>
        <v>2.0904408520890962E-3</v>
      </c>
      <c r="O17" s="499"/>
      <c r="P17" s="24">
        <f>MAX(0,'Sheet 1 Gen &amp; Rec'!C17*'Sheet 2 Gross &amp; Net Costs'!S$3*'Sheet 2 Gross &amp; Net Costs'!J17-'Sheet 2 Gross &amp; Net Costs'!K17)</f>
        <v>20093320.105890848</v>
      </c>
      <c r="Q17" s="640">
        <f t="shared" si="5"/>
        <v>0.11315021448552379</v>
      </c>
      <c r="R17" s="640"/>
      <c r="S17" s="663">
        <f t="shared" si="6"/>
        <v>0.11339293839054358</v>
      </c>
      <c r="U17" s="473"/>
    </row>
    <row r="18" spans="1:21" ht="15" customHeight="1">
      <c r="A18" s="29"/>
      <c r="B18" s="509" t="s">
        <v>8</v>
      </c>
      <c r="C18" s="502">
        <f>'Sheet 1 Gen &amp; Rec'!E18</f>
        <v>502.63927269698121</v>
      </c>
      <c r="D18" s="495">
        <f>Inputs!E22</f>
        <v>842.25332212922933</v>
      </c>
      <c r="E18" s="510">
        <f>C18*D18</f>
        <v>423349.59726165206</v>
      </c>
      <c r="F18" s="511"/>
      <c r="G18" s="515">
        <f>Inputs!F22</f>
        <v>76.269194110264507</v>
      </c>
      <c r="H18" s="510">
        <f>C18*G18</f>
        <v>38335.892256768238</v>
      </c>
      <c r="I18" s="511"/>
      <c r="J18" s="512">
        <f>IF(C18=0,0,K18/C18)</f>
        <v>765.98412801896484</v>
      </c>
      <c r="K18" s="513">
        <f>E18-H18</f>
        <v>385013.70500488381</v>
      </c>
      <c r="L18" s="641">
        <f t="shared" si="3"/>
        <v>2.0600128604694001E-3</v>
      </c>
      <c r="M18" s="655"/>
      <c r="N18" s="645">
        <f t="shared" si="4"/>
        <v>2.3836292181596101E-3</v>
      </c>
      <c r="O18" s="516"/>
      <c r="P18" s="24">
        <f>MAX(0,'Sheet 1 Gen &amp; Rec'!C18*'Sheet 2 Gross &amp; Net Costs'!S$3*'Sheet 2 Gross &amp; Net Costs'!J18-'Sheet 2 Gross &amp; Net Costs'!K18)</f>
        <v>1566076.5543929264</v>
      </c>
      <c r="Q18" s="641">
        <f t="shared" si="5"/>
        <v>8.8189456543997739E-3</v>
      </c>
      <c r="R18" s="641"/>
      <c r="S18" s="663">
        <f t="shared" si="6"/>
        <v>8.8378635940353813E-3</v>
      </c>
      <c r="U18" s="473"/>
    </row>
    <row r="19" spans="1:21" ht="15" customHeight="1">
      <c r="A19" s="29"/>
      <c r="B19" s="509" t="s">
        <v>6</v>
      </c>
      <c r="C19" s="502">
        <f>'Sheet 1 Gen &amp; Rec'!E19</f>
        <v>70976.675598618676</v>
      </c>
      <c r="D19" s="495">
        <f>Inputs!E23</f>
        <v>307.65714222317115</v>
      </c>
      <c r="E19" s="510">
        <f>C19*D19</f>
        <v>21836481.179172106</v>
      </c>
      <c r="F19" s="511"/>
      <c r="G19" s="515">
        <f>Inputs!F23</f>
        <v>77.32474304488143</v>
      </c>
      <c r="H19" s="510">
        <f>C19*G19</f>
        <v>5488253.2028430952</v>
      </c>
      <c r="I19" s="511"/>
      <c r="J19" s="512">
        <f>IF(C19=0,0,K19/C19)</f>
        <v>230.33239917828968</v>
      </c>
      <c r="K19" s="513">
        <f>E19-H19</f>
        <v>16348227.97632901</v>
      </c>
      <c r="L19" s="641">
        <f t="shared" si="3"/>
        <v>8.747106775509772E-2</v>
      </c>
      <c r="M19" s="655"/>
      <c r="N19" s="645">
        <f t="shared" si="4"/>
        <v>0.10121227728508492</v>
      </c>
      <c r="O19" s="516"/>
      <c r="P19" s="24">
        <f>MAX(0,'Sheet 1 Gen &amp; Rec'!C19*'Sheet 2 Gross &amp; Net Costs'!S$3*'Sheet 2 Gross &amp; Net Costs'!J19-'Sheet 2 Gross &amp; Net Costs'!K19)</f>
        <v>1416999.02355358</v>
      </c>
      <c r="Q19" s="641">
        <f t="shared" si="5"/>
        <v>7.9794549927993032E-3</v>
      </c>
      <c r="R19" s="641"/>
      <c r="S19" s="663">
        <f t="shared" si="6"/>
        <v>7.9965721011016448E-3</v>
      </c>
      <c r="U19" s="473"/>
    </row>
    <row r="20" spans="1:21" s="3" customFormat="1" ht="15" customHeight="1">
      <c r="A20" s="65" t="s">
        <v>33</v>
      </c>
      <c r="B20" s="11"/>
      <c r="C20" s="347">
        <f>SUM(C15:C19)</f>
        <v>226501.51604122855</v>
      </c>
      <c r="D20" s="15">
        <f>ROUND(E20/C20,1)</f>
        <v>460.3</v>
      </c>
      <c r="E20" s="16">
        <f>SUM(E15:E19)</f>
        <v>104269805.80560711</v>
      </c>
      <c r="F20" s="17"/>
      <c r="G20" s="66">
        <f>H20/$C20</f>
        <v>88.435873809692055</v>
      </c>
      <c r="H20" s="16">
        <f>SUM(H15:H19)</f>
        <v>20030859.490326028</v>
      </c>
      <c r="I20" s="17"/>
      <c r="J20" s="66">
        <f>K20/$C20</f>
        <v>371.91338842936329</v>
      </c>
      <c r="K20" s="67">
        <f>SUM(K15:K19)</f>
        <v>84238946.315281093</v>
      </c>
      <c r="L20" s="636">
        <f t="shared" si="3"/>
        <v>0.45071983284249378</v>
      </c>
      <c r="M20" s="656"/>
      <c r="N20" s="657">
        <f t="shared" si="4"/>
        <v>0.52152536684774853</v>
      </c>
      <c r="O20" s="19"/>
      <c r="P20" s="21">
        <f>SUM(P15:P19)</f>
        <v>26717912.183836069</v>
      </c>
      <c r="Q20" s="636">
        <f t="shared" si="5"/>
        <v>0.15045485157627753</v>
      </c>
      <c r="R20" s="636"/>
      <c r="S20" s="662">
        <f t="shared" si="6"/>
        <v>0.15077759943203559</v>
      </c>
      <c r="U20" s="930"/>
    </row>
    <row r="21" spans="1:21" ht="15" customHeight="1">
      <c r="A21" s="22" t="s">
        <v>53</v>
      </c>
      <c r="B21" s="501" t="s">
        <v>10</v>
      </c>
      <c r="C21" s="502">
        <f>'Sheet 1 Gen &amp; Rec'!E21</f>
        <v>28216.54797929493</v>
      </c>
      <c r="D21" s="495">
        <f>Inputs!E25</f>
        <v>1371.0661568105209</v>
      </c>
      <c r="E21" s="496">
        <f t="shared" ref="E21:E26" si="7">C21*D21</f>
        <v>38686753.996431567</v>
      </c>
      <c r="F21" s="497"/>
      <c r="G21" s="515">
        <f>Inputs!F25</f>
        <v>282.46805565055996</v>
      </c>
      <c r="H21" s="496">
        <f t="shared" ref="H21:H26" si="8">C21*G21</f>
        <v>7970273.4448821759</v>
      </c>
      <c r="I21" s="497"/>
      <c r="J21" s="495">
        <f t="shared" ref="J21:J26" si="9">IF(C21=0,0,K21/C21)</f>
        <v>1088.5981011599608</v>
      </c>
      <c r="K21" s="498">
        <f t="shared" ref="K21:K26" si="10">E21-H21</f>
        <v>30716480.55154939</v>
      </c>
      <c r="L21" s="639">
        <f t="shared" si="3"/>
        <v>0.1643482923906496</v>
      </c>
      <c r="M21" s="644"/>
      <c r="N21" s="645">
        <f t="shared" si="4"/>
        <v>0.19016647867320932</v>
      </c>
      <c r="O21" s="499"/>
      <c r="P21" s="24">
        <f>MAX(0,'Sheet 1 Gen &amp; Rec'!C21*'Sheet 2 Gross &amp; Net Costs'!S$3*'Sheet 2 Gross &amp; Net Costs'!J21-'Sheet 2 Gross &amp; Net Costs'!K21)</f>
        <v>0</v>
      </c>
      <c r="Q21" s="639">
        <f t="shared" si="5"/>
        <v>0</v>
      </c>
      <c r="R21" s="639"/>
      <c r="S21" s="663">
        <f t="shared" si="6"/>
        <v>0</v>
      </c>
      <c r="U21" s="473"/>
    </row>
    <row r="22" spans="1:21" ht="15" customHeight="1">
      <c r="A22" s="27"/>
      <c r="B22" s="503" t="s">
        <v>11</v>
      </c>
      <c r="C22" s="502">
        <f>'Sheet 1 Gen &amp; Rec'!E22</f>
        <v>15469.677230451909</v>
      </c>
      <c r="D22" s="495">
        <f>Inputs!E26</f>
        <v>1215.7083813999297</v>
      </c>
      <c r="E22" s="504">
        <f t="shared" si="7"/>
        <v>18806616.266612038</v>
      </c>
      <c r="F22" s="505"/>
      <c r="G22" s="515">
        <f>Inputs!F26</f>
        <v>427.27380424283422</v>
      </c>
      <c r="H22" s="504">
        <f t="shared" si="8"/>
        <v>6609787.8406639388</v>
      </c>
      <c r="I22" s="505"/>
      <c r="J22" s="506">
        <f t="shared" si="9"/>
        <v>788.43457715709542</v>
      </c>
      <c r="K22" s="507">
        <f t="shared" si="10"/>
        <v>12196828.425948098</v>
      </c>
      <c r="L22" s="640">
        <f t="shared" si="3"/>
        <v>6.5259036464878878E-2</v>
      </c>
      <c r="M22" s="654"/>
      <c r="N22" s="645">
        <f t="shared" si="4"/>
        <v>7.5510861631797738E-2</v>
      </c>
      <c r="O22" s="499"/>
      <c r="P22" s="24">
        <f>MAX(0,'Sheet 1 Gen &amp; Rec'!C22*'Sheet 2 Gross &amp; Net Costs'!S$3*'Sheet 2 Gross &amp; Net Costs'!J22-'Sheet 2 Gross &amp; Net Costs'!K22)</f>
        <v>740214.5251564905</v>
      </c>
      <c r="Q22" s="640">
        <f t="shared" si="5"/>
        <v>4.1683222008791912E-3</v>
      </c>
      <c r="R22" s="640"/>
      <c r="S22" s="668">
        <f t="shared" si="6"/>
        <v>4.1772638670225419E-3</v>
      </c>
      <c r="U22" s="473"/>
    </row>
    <row r="23" spans="1:21" ht="15" customHeight="1">
      <c r="A23" s="27"/>
      <c r="B23" s="503" t="s">
        <v>12</v>
      </c>
      <c r="C23" s="502">
        <f>'Sheet 1 Gen &amp; Rec'!E23</f>
        <v>3122.627862919835</v>
      </c>
      <c r="D23" s="495">
        <f>Inputs!E27</f>
        <v>2043.9229371712897</v>
      </c>
      <c r="E23" s="504">
        <f t="shared" si="7"/>
        <v>6382410.7132720165</v>
      </c>
      <c r="F23" s="505"/>
      <c r="G23" s="515">
        <f>Inputs!F27</f>
        <v>26.444436328038638</v>
      </c>
      <c r="H23" s="504">
        <f t="shared" si="8"/>
        <v>82576.133697142941</v>
      </c>
      <c r="I23" s="505"/>
      <c r="J23" s="506">
        <f t="shared" si="9"/>
        <v>2017.4785008432511</v>
      </c>
      <c r="K23" s="507">
        <f t="shared" si="10"/>
        <v>6299834.5795748737</v>
      </c>
      <c r="L23" s="640">
        <f t="shared" si="3"/>
        <v>3.3707216351141205E-2</v>
      </c>
      <c r="M23" s="654"/>
      <c r="N23" s="645">
        <f t="shared" si="4"/>
        <v>3.900242920769912E-2</v>
      </c>
      <c r="O23" s="499"/>
      <c r="P23" s="24">
        <f>MAX(0,'Sheet 1 Gen &amp; Rec'!C23*'Sheet 2 Gross &amp; Net Costs'!S$3*'Sheet 2 Gross &amp; Net Costs'!J23-'Sheet 2 Gross &amp; Net Costs'!K23)</f>
        <v>52755812.236936778</v>
      </c>
      <c r="Q23" s="640">
        <f t="shared" si="5"/>
        <v>0.29708039480331383</v>
      </c>
      <c r="R23" s="640"/>
      <c r="S23" s="668">
        <f t="shared" si="6"/>
        <v>0.29771767608341876</v>
      </c>
      <c r="U23" s="473"/>
    </row>
    <row r="24" spans="1:21" ht="15" customHeight="1">
      <c r="A24" s="27"/>
      <c r="B24" s="503" t="s">
        <v>22</v>
      </c>
      <c r="C24" s="502">
        <f>'Sheet 1 Gen &amp; Rec'!E24</f>
        <v>336.09680000000003</v>
      </c>
      <c r="D24" s="495">
        <f>Inputs!E28</f>
        <v>2043.9229371712897</v>
      </c>
      <c r="E24" s="504">
        <f t="shared" si="7"/>
        <v>686955.9586298716</v>
      </c>
      <c r="F24" s="505"/>
      <c r="G24" s="515">
        <f>Inputs!F28</f>
        <v>0</v>
      </c>
      <c r="H24" s="504">
        <f t="shared" si="8"/>
        <v>0</v>
      </c>
      <c r="I24" s="505"/>
      <c r="J24" s="506">
        <f t="shared" si="9"/>
        <v>2043.9229371712897</v>
      </c>
      <c r="K24" s="507">
        <f t="shared" si="10"/>
        <v>686955.9586298716</v>
      </c>
      <c r="L24" s="640">
        <f t="shared" si="3"/>
        <v>3.6755525607475976E-3</v>
      </c>
      <c r="M24" s="654"/>
      <c r="N24" s="645">
        <f t="shared" si="4"/>
        <v>4.2529610590309654E-3</v>
      </c>
      <c r="O24" s="499"/>
      <c r="P24" s="24">
        <f>MAX(0,'Sheet 1 Gen &amp; Rec'!C24*'Sheet 2 Gross &amp; Net Costs'!S$3*'Sheet 2 Gross &amp; Net Costs'!J24-'Sheet 2 Gross &amp; Net Costs'!K24)</f>
        <v>40530401.559162423</v>
      </c>
      <c r="Q24" s="640">
        <f t="shared" si="5"/>
        <v>0.22823623002249047</v>
      </c>
      <c r="R24" s="640"/>
      <c r="S24" s="668">
        <f t="shared" si="6"/>
        <v>0.22872583041140657</v>
      </c>
      <c r="U24" s="473"/>
    </row>
    <row r="25" spans="1:21" ht="15" customHeight="1">
      <c r="A25" s="27"/>
      <c r="B25" s="503" t="s">
        <v>13</v>
      </c>
      <c r="C25" s="502">
        <f>'Sheet 1 Gen &amp; Rec'!E25</f>
        <v>822.85912660232339</v>
      </c>
      <c r="D25" s="495">
        <f>Inputs!E29</f>
        <v>2463.7349313071422</v>
      </c>
      <c r="E25" s="504">
        <f t="shared" si="7"/>
        <v>2027306.7737550302</v>
      </c>
      <c r="F25" s="505"/>
      <c r="G25" s="515">
        <f>Inputs!F29</f>
        <v>79.433320911061017</v>
      </c>
      <c r="H25" s="504">
        <f t="shared" si="8"/>
        <v>65362.433067997736</v>
      </c>
      <c r="I25" s="505"/>
      <c r="J25" s="506">
        <f t="shared" si="9"/>
        <v>2384.3016103960813</v>
      </c>
      <c r="K25" s="507">
        <f t="shared" si="10"/>
        <v>1961944.3406870326</v>
      </c>
      <c r="L25" s="640">
        <f t="shared" si="3"/>
        <v>1.0497368069765667E-2</v>
      </c>
      <c r="M25" s="654"/>
      <c r="N25" s="645">
        <f t="shared" si="4"/>
        <v>1.214644516304993E-2</v>
      </c>
      <c r="O25" s="499"/>
      <c r="P25" s="24">
        <f>MAX(0,'Sheet 1 Gen &amp; Rec'!C25*'Sheet 2 Gross &amp; Net Costs'!S$3*'Sheet 2 Gross &amp; Net Costs'!J25-'Sheet 2 Gross &amp; Net Costs'!K25)</f>
        <v>28360077.587299678</v>
      </c>
      <c r="Q25" s="640">
        <f t="shared" si="5"/>
        <v>0.15970227144732904</v>
      </c>
      <c r="R25" s="640"/>
      <c r="S25" s="668">
        <f t="shared" si="6"/>
        <v>0.16004485638313742</v>
      </c>
      <c r="U25" s="473"/>
    </row>
    <row r="26" spans="1:21" ht="15" customHeight="1">
      <c r="A26" s="29"/>
      <c r="B26" s="509" t="s">
        <v>14</v>
      </c>
      <c r="C26" s="502">
        <f>'Sheet 1 Gen &amp; Rec'!E26</f>
        <v>10653.037281600642</v>
      </c>
      <c r="D26" s="495">
        <f>Inputs!E30</f>
        <v>1321.9843853454197</v>
      </c>
      <c r="E26" s="510">
        <f t="shared" si="7"/>
        <v>14083148.942778666</v>
      </c>
      <c r="F26" s="511"/>
      <c r="G26" s="515">
        <f>Inputs!F30</f>
        <v>105.55225405697701</v>
      </c>
      <c r="H26" s="510">
        <f t="shared" si="8"/>
        <v>1124452.0976259587</v>
      </c>
      <c r="I26" s="511"/>
      <c r="J26" s="512">
        <f t="shared" si="9"/>
        <v>1216.4321312884426</v>
      </c>
      <c r="K26" s="513">
        <f t="shared" si="10"/>
        <v>12958696.845152706</v>
      </c>
      <c r="L26" s="641">
        <f t="shared" si="3"/>
        <v>6.9335407568414206E-2</v>
      </c>
      <c r="M26" s="655"/>
      <c r="N26" s="645">
        <f t="shared" si="4"/>
        <v>8.0227607557468467E-2</v>
      </c>
      <c r="O26" s="516"/>
      <c r="P26" s="24">
        <f>MAX(0,'Sheet 1 Gen &amp; Rec'!C26*'Sheet 2 Gross &amp; Net Costs'!S$3*'Sheet 2 Gross &amp; Net Costs'!J26-'Sheet 2 Gross &amp; Net Costs'!K26)</f>
        <v>27600692.662370279</v>
      </c>
      <c r="Q26" s="641">
        <f t="shared" si="5"/>
        <v>0.15542599621356895</v>
      </c>
      <c r="R26" s="641"/>
      <c r="S26" s="669">
        <f t="shared" si="6"/>
        <v>0.15575940790805032</v>
      </c>
      <c r="U26" s="473"/>
    </row>
    <row r="27" spans="1:21" s="3" customFormat="1" ht="15" customHeight="1">
      <c r="A27" s="65" t="s">
        <v>34</v>
      </c>
      <c r="B27" s="11"/>
      <c r="C27" s="14">
        <f>SUM(C21:C26)</f>
        <v>58620.846280869635</v>
      </c>
      <c r="D27" s="15">
        <f>ROUND(E27/C27,1)</f>
        <v>1376.2</v>
      </c>
      <c r="E27" s="16">
        <f>SUM(E21:E26)</f>
        <v>80673192.651479185</v>
      </c>
      <c r="F27" s="17"/>
      <c r="G27" s="66">
        <f>H27/$C27</f>
        <v>270.42345779150776</v>
      </c>
      <c r="H27" s="16">
        <f>SUM(H21:H26)</f>
        <v>15852451.949937213</v>
      </c>
      <c r="I27" s="17"/>
      <c r="J27" s="66">
        <f>K27/$C27</f>
        <v>1105.762622241358</v>
      </c>
      <c r="K27" s="67">
        <f>SUM(K21:K26)</f>
        <v>64820740.701541968</v>
      </c>
      <c r="L27" s="636">
        <f t="shared" si="3"/>
        <v>0.34682287340559714</v>
      </c>
      <c r="M27" s="656"/>
      <c r="N27" s="657">
        <f t="shared" si="4"/>
        <v>0.40130678329225555</v>
      </c>
      <c r="O27" s="19"/>
      <c r="P27" s="21">
        <f>SUM(P21:P26)</f>
        <v>149987198.57092565</v>
      </c>
      <c r="Q27" s="636">
        <f t="shared" si="5"/>
        <v>0.84461321468758155</v>
      </c>
      <c r="R27" s="636"/>
      <c r="S27" s="662">
        <f t="shared" si="6"/>
        <v>0.84642503465303565</v>
      </c>
      <c r="U27" s="930"/>
    </row>
    <row r="28" spans="1:21" ht="15" customHeight="1">
      <c r="A28" s="22" t="s">
        <v>54</v>
      </c>
      <c r="B28" s="501" t="s">
        <v>16</v>
      </c>
      <c r="C28" s="502">
        <f>'Sheet 1 Gen &amp; Rec'!E28</f>
        <v>29134.450023494323</v>
      </c>
      <c r="D28" s="495">
        <f>Inputs!E32</f>
        <v>330.12608850228207</v>
      </c>
      <c r="E28" s="496">
        <f>C28*D28</f>
        <v>9618042.0269214008</v>
      </c>
      <c r="F28" s="497"/>
      <c r="G28" s="515">
        <f>Inputs!F32</f>
        <v>189.54216719398431</v>
      </c>
      <c r="H28" s="496">
        <f>C28*G28</f>
        <v>5522206.7974579409</v>
      </c>
      <c r="I28" s="497"/>
      <c r="J28" s="495">
        <f>IF(C28=0,0,K28/C28)</f>
        <v>140.58392130829776</v>
      </c>
      <c r="K28" s="498">
        <f>E28-H28</f>
        <v>4095835.2294634599</v>
      </c>
      <c r="L28" s="639">
        <f t="shared" si="3"/>
        <v>2.1914734819508144E-2</v>
      </c>
      <c r="M28" s="644"/>
      <c r="N28" s="645">
        <f t="shared" si="4"/>
        <v>2.5357415590161223E-2</v>
      </c>
      <c r="O28" s="499"/>
      <c r="P28" s="24">
        <f>MAX(0,'Sheet 1 Gen &amp; Rec'!C28*'Sheet 2 Gross &amp; Net Costs'!S$3*'Sheet 2 Gross &amp; Net Costs'!J28-'Sheet 2 Gross &amp; Net Costs'!K28)</f>
        <v>0</v>
      </c>
      <c r="Q28" s="639">
        <f t="shared" si="5"/>
        <v>0</v>
      </c>
      <c r="R28" s="639"/>
      <c r="S28" s="663">
        <f t="shared" si="6"/>
        <v>0</v>
      </c>
      <c r="U28" s="473"/>
    </row>
    <row r="29" spans="1:21" ht="15" customHeight="1">
      <c r="A29" s="27"/>
      <c r="B29" s="503" t="s">
        <v>17</v>
      </c>
      <c r="C29" s="502">
        <f>'Sheet 1 Gen &amp; Rec'!E29</f>
        <v>1167.1142312909381</v>
      </c>
      <c r="D29" s="495">
        <f>Inputs!E33</f>
        <v>330.12608850228207</v>
      </c>
      <c r="E29" s="504">
        <f>C29*D29</f>
        <v>385294.85601142514</v>
      </c>
      <c r="F29" s="505"/>
      <c r="G29" s="515">
        <f>Inputs!F33</f>
        <v>189.54216719398431</v>
      </c>
      <c r="H29" s="504">
        <f>C29*G29</f>
        <v>221217.36076182546</v>
      </c>
      <c r="I29" s="505"/>
      <c r="J29" s="506">
        <f>IF(C29=0,0,K29/C29)</f>
        <v>140.58392130829779</v>
      </c>
      <c r="K29" s="507">
        <f>E29-H29</f>
        <v>164077.49524959968</v>
      </c>
      <c r="L29" s="640">
        <f t="shared" si="3"/>
        <v>8.7789537342182348E-4</v>
      </c>
      <c r="M29" s="654"/>
      <c r="N29" s="645">
        <f t="shared" si="4"/>
        <v>1.0158077664129629E-3</v>
      </c>
      <c r="O29" s="499"/>
      <c r="P29" s="24">
        <f>MAX(0,'Sheet 1 Gen &amp; Rec'!C29*'Sheet 2 Gross &amp; Net Costs'!S$3*'Sheet 2 Gross &amp; Net Costs'!J29-'Sheet 2 Gross &amp; Net Costs'!K29)</f>
        <v>191351.27328752063</v>
      </c>
      <c r="Q29" s="640">
        <f t="shared" si="5"/>
        <v>1.0775440544648165E-3</v>
      </c>
      <c r="R29" s="640"/>
      <c r="S29" s="668">
        <f t="shared" si="6"/>
        <v>1.079855545449785E-3</v>
      </c>
      <c r="T29" s="857"/>
      <c r="U29" s="473"/>
    </row>
    <row r="30" spans="1:21" ht="15" customHeight="1">
      <c r="A30" s="29"/>
      <c r="B30" s="509" t="s">
        <v>18</v>
      </c>
      <c r="C30" s="502">
        <f>'Sheet 1 Gen &amp; Rec'!E30</f>
        <v>935.17403201479385</v>
      </c>
      <c r="D30" s="495">
        <f>Inputs!E34</f>
        <v>330.12608850228207</v>
      </c>
      <c r="E30" s="510">
        <f>C30*D30</f>
        <v>308725.34525795182</v>
      </c>
      <c r="F30" s="511"/>
      <c r="G30" s="515">
        <f>Inputs!F34</f>
        <v>189.54216719398431</v>
      </c>
      <c r="H30" s="510">
        <f>C30*G30</f>
        <v>177254.91273162048</v>
      </c>
      <c r="I30" s="511"/>
      <c r="J30" s="512">
        <f>IF(C30=0,0,K30/C30)</f>
        <v>140.58392130829779</v>
      </c>
      <c r="K30" s="513">
        <f>E30-H30</f>
        <v>131470.43252633134</v>
      </c>
      <c r="L30" s="641">
        <f t="shared" si="3"/>
        <v>7.0343153569632456E-4</v>
      </c>
      <c r="M30" s="655"/>
      <c r="N30" s="645">
        <f t="shared" si="4"/>
        <v>8.1393664750159956E-4</v>
      </c>
      <c r="O30" s="516"/>
      <c r="P30" s="24">
        <f>MAX(0,'Sheet 1 Gen &amp; Rec'!C30*'Sheet 2 Gross &amp; Net Costs'!S$3*'Sheet 2 Gross &amp; Net Costs'!J30-'Sheet 2 Gross &amp; Net Costs'!K30)</f>
        <v>304344.22221487371</v>
      </c>
      <c r="Q30" s="641">
        <f t="shared" si="5"/>
        <v>1.7138339428010676E-3</v>
      </c>
      <c r="R30" s="641"/>
      <c r="S30" s="669">
        <f t="shared" si="6"/>
        <v>1.7175103694790333E-3</v>
      </c>
      <c r="U30" s="473"/>
    </row>
    <row r="31" spans="1:21" s="3" customFormat="1" ht="15" customHeight="1">
      <c r="A31" s="65" t="s">
        <v>57</v>
      </c>
      <c r="B31" s="11"/>
      <c r="C31" s="14">
        <f>SUM(C28:C30)</f>
        <v>31236.738286800057</v>
      </c>
      <c r="D31" s="15">
        <f>ROUND(E31/C31,1)</f>
        <v>330.1</v>
      </c>
      <c r="E31" s="16">
        <f>SUM(E28:E30)</f>
        <v>10312062.228190778</v>
      </c>
      <c r="F31" s="17"/>
      <c r="G31" s="66">
        <f>H31/$C31</f>
        <v>189.54216719398428</v>
      </c>
      <c r="H31" s="16">
        <f>SUM(H28:H30)</f>
        <v>5920679.0709513864</v>
      </c>
      <c r="I31" s="17"/>
      <c r="J31" s="66">
        <f>K31/$C31</f>
        <v>140.58392130829773</v>
      </c>
      <c r="K31" s="67">
        <f>SUM(K28:K30)</f>
        <v>4391383.1572393905</v>
      </c>
      <c r="L31" s="636">
        <f t="shared" si="3"/>
        <v>2.349606172862629E-2</v>
      </c>
      <c r="M31" s="656"/>
      <c r="N31" s="657">
        <f t="shared" si="4"/>
        <v>2.7187160004075783E-2</v>
      </c>
      <c r="O31" s="19"/>
      <c r="P31" s="21">
        <f>P28+P29+P30</f>
        <v>495695.49550239433</v>
      </c>
      <c r="Q31" s="636">
        <f t="shared" si="5"/>
        <v>2.7913779972658839E-3</v>
      </c>
      <c r="R31" s="636"/>
      <c r="S31" s="662">
        <f t="shared" si="6"/>
        <v>2.7973659149288185E-3</v>
      </c>
      <c r="U31" s="930"/>
    </row>
    <row r="32" spans="1:21" ht="15" customHeight="1">
      <c r="A32" s="22" t="s">
        <v>55</v>
      </c>
      <c r="B32" s="501" t="s">
        <v>94</v>
      </c>
      <c r="C32" s="502">
        <f>'Sheet 1 Gen &amp; Rec'!E32</f>
        <v>10506.61862749415</v>
      </c>
      <c r="D32" s="495">
        <f>Inputs!E36</f>
        <v>1145.8242913494569</v>
      </c>
      <c r="E32" s="496">
        <f>C32*D32</f>
        <v>12038738.843327487</v>
      </c>
      <c r="F32" s="497"/>
      <c r="G32" s="515">
        <f>Inputs!F36</f>
        <v>1438.8573346989369</v>
      </c>
      <c r="H32" s="496">
        <f>C32*G32</f>
        <v>15117525.275054436</v>
      </c>
      <c r="I32" s="497"/>
      <c r="J32" s="495">
        <f>IF(C32=0,0,K32/C32)</f>
        <v>-293.03304334948018</v>
      </c>
      <c r="K32" s="498">
        <f>E32-H32</f>
        <v>-3078786.4317269493</v>
      </c>
      <c r="L32" s="639">
        <f t="shared" si="3"/>
        <v>-1.6473023067882113E-2</v>
      </c>
      <c r="M32" s="644"/>
      <c r="N32" s="645">
        <f t="shared" si="4"/>
        <v>-1.9060841730412257E-2</v>
      </c>
      <c r="O32" s="499"/>
      <c r="P32" s="24">
        <f>MAX(0,'Sheet 1 Gen &amp; Rec'!C32*'Sheet 2 Gross &amp; Net Costs'!S$3*'Sheet 2 Gross &amp; Net Costs'!J32-'Sheet 2 Gross &amp; Net Costs'!K32)</f>
        <v>0</v>
      </c>
      <c r="Q32" s="639">
        <f t="shared" si="5"/>
        <v>0</v>
      </c>
      <c r="R32" s="639"/>
      <c r="S32" s="663">
        <f t="shared" si="6"/>
        <v>0</v>
      </c>
      <c r="T32" s="856"/>
      <c r="U32" s="473"/>
    </row>
    <row r="33" spans="1:21" ht="15" customHeight="1">
      <c r="A33" s="29"/>
      <c r="B33" s="509" t="s">
        <v>95</v>
      </c>
      <c r="C33" s="502">
        <f>'Sheet 1 Gen &amp; Rec'!E33</f>
        <v>336.56005693115003</v>
      </c>
      <c r="D33" s="495">
        <f>Inputs!E37</f>
        <v>1145.8242913494569</v>
      </c>
      <c r="E33" s="510">
        <f>C33*D33</f>
        <v>385638.68872966786</v>
      </c>
      <c r="F33" s="511"/>
      <c r="G33" s="515">
        <f>Inputs!F37</f>
        <v>1438.8573346989369</v>
      </c>
      <c r="H33" s="510">
        <f>C33*G33</f>
        <v>484261.90648207703</v>
      </c>
      <c r="I33" s="511"/>
      <c r="J33" s="512">
        <f>IF(C33=0,0,K33/C33)</f>
        <v>-293.03304334948007</v>
      </c>
      <c r="K33" s="513">
        <f>E33-H33</f>
        <v>-98623.217752409168</v>
      </c>
      <c r="L33" s="641">
        <f t="shared" si="3"/>
        <v>-5.276827662751897E-4</v>
      </c>
      <c r="M33" s="655"/>
      <c r="N33" s="645">
        <f t="shared" si="4"/>
        <v>-6.1057874139981098E-4</v>
      </c>
      <c r="O33" s="516"/>
      <c r="P33" s="24">
        <f>MAX(0,'Sheet 1 Gen &amp; Rec'!C33*'Sheet 2 Gross &amp; Net Costs'!S$3*'Sheet 2 Gross &amp; Net Costs'!J33-'Sheet 2 Gross &amp; Net Costs'!K33)</f>
        <v>0</v>
      </c>
      <c r="Q33" s="641">
        <f t="shared" si="5"/>
        <v>0</v>
      </c>
      <c r="R33" s="641"/>
      <c r="S33" s="669">
        <f t="shared" si="6"/>
        <v>0</v>
      </c>
      <c r="U33" s="473"/>
    </row>
    <row r="34" spans="1:21" s="3" customFormat="1" ht="15" customHeight="1">
      <c r="A34" s="65" t="s">
        <v>35</v>
      </c>
      <c r="B34" s="11"/>
      <c r="C34" s="14">
        <f>SUM(C32:C33)</f>
        <v>10843.1786844253</v>
      </c>
      <c r="D34" s="15">
        <f>ROUND(E34/C34,1)</f>
        <v>1145.8</v>
      </c>
      <c r="E34" s="16">
        <f>SUM(E32:E33)</f>
        <v>12424377.532057155</v>
      </c>
      <c r="F34" s="17"/>
      <c r="G34" s="66">
        <f>H34/$C34</f>
        <v>1438.8573346989369</v>
      </c>
      <c r="H34" s="16">
        <f>SUM(H32:H33)</f>
        <v>15601787.181536512</v>
      </c>
      <c r="I34" s="17"/>
      <c r="J34" s="66">
        <f>K34/$C34</f>
        <v>-293.03304334948018</v>
      </c>
      <c r="K34" s="67">
        <f>SUM(K32:K33)</f>
        <v>-3177409.6494793585</v>
      </c>
      <c r="L34" s="636">
        <f t="shared" si="3"/>
        <v>-1.7000705834157304E-2</v>
      </c>
      <c r="M34" s="656"/>
      <c r="N34" s="657">
        <f t="shared" si="4"/>
        <v>-1.9671420471812071E-2</v>
      </c>
      <c r="O34" s="19"/>
      <c r="P34" s="21">
        <f>SUM(P32:P33)</f>
        <v>0</v>
      </c>
      <c r="Q34" s="636">
        <f t="shared" si="5"/>
        <v>0</v>
      </c>
      <c r="R34" s="636"/>
      <c r="S34" s="662">
        <f t="shared" si="6"/>
        <v>0</v>
      </c>
      <c r="U34" s="930"/>
    </row>
    <row r="35" spans="1:21" ht="15" customHeight="1">
      <c r="A35" s="22" t="s">
        <v>56</v>
      </c>
      <c r="B35" s="501" t="s">
        <v>20</v>
      </c>
      <c r="C35" s="502">
        <f>'Sheet 1 Gen &amp; Rec'!E35</f>
        <v>67826.721330410612</v>
      </c>
      <c r="D35" s="495">
        <f>Inputs!E39</f>
        <v>174.52612182178314</v>
      </c>
      <c r="E35" s="496">
        <f>C35*D35</f>
        <v>11837534.629683379</v>
      </c>
      <c r="F35" s="497"/>
      <c r="G35" s="515">
        <f>Inputs!F39</f>
        <v>35.789621111165083</v>
      </c>
      <c r="H35" s="496">
        <f>C35*G35</f>
        <v>2427492.6576279746</v>
      </c>
      <c r="I35" s="497"/>
      <c r="J35" s="495">
        <f>IF(C35=0,0,K35/C35)</f>
        <v>138.73650071061806</v>
      </c>
      <c r="K35" s="498">
        <f>E35-H35</f>
        <v>9410041.9720554054</v>
      </c>
      <c r="L35" s="639">
        <f t="shared" si="3"/>
        <v>5.0348357027303947E-2</v>
      </c>
      <c r="M35" s="644"/>
      <c r="N35" s="645">
        <f t="shared" si="4"/>
        <v>5.8257798870861036E-2</v>
      </c>
      <c r="O35" s="499"/>
      <c r="P35" s="24">
        <f>MAX(0,'Sheet 1 Gen &amp; Rec'!C35*'Sheet 2 Gross &amp; Net Costs'!S$3*'Sheet 2 Gross &amp; Net Costs'!J35-'Sheet 2 Gross &amp; Net Costs'!K35)</f>
        <v>0</v>
      </c>
      <c r="Q35" s="639">
        <f t="shared" si="5"/>
        <v>0</v>
      </c>
      <c r="R35" s="639"/>
      <c r="S35" s="663">
        <f t="shared" si="6"/>
        <v>0</v>
      </c>
      <c r="U35" s="473"/>
    </row>
    <row r="36" spans="1:21" ht="15" customHeight="1">
      <c r="A36" s="27"/>
      <c r="B36" s="503" t="s">
        <v>21</v>
      </c>
      <c r="C36" s="502">
        <f>'Sheet 1 Gen &amp; Rec'!E36</f>
        <v>17243.843591268549</v>
      </c>
      <c r="D36" s="495">
        <f>Inputs!E40</f>
        <v>137.37500365023001</v>
      </c>
      <c r="E36" s="504">
        <f>C36*D36</f>
        <v>2368873.0762945125</v>
      </c>
      <c r="F36" s="505"/>
      <c r="G36" s="515">
        <f>Inputs!F40</f>
        <v>30.643777137711172</v>
      </c>
      <c r="H36" s="504">
        <f>C36*G36</f>
        <v>528416.50000838249</v>
      </c>
      <c r="I36" s="505"/>
      <c r="J36" s="506">
        <f>IF(C36=0,0,K36/C36)</f>
        <v>106.73122651251886</v>
      </c>
      <c r="K36" s="507">
        <f>E36-H36</f>
        <v>1840456.5762861301</v>
      </c>
      <c r="L36" s="640">
        <f t="shared" si="3"/>
        <v>9.847348722915766E-3</v>
      </c>
      <c r="M36" s="654"/>
      <c r="N36" s="645">
        <f t="shared" si="4"/>
        <v>1.1394311456871318E-2</v>
      </c>
      <c r="O36" s="499"/>
      <c r="P36" s="24">
        <f>MAX(0,'Sheet 1 Gen &amp; Rec'!C36*'Sheet 2 Gross &amp; Net Costs'!S$3*'Sheet 2 Gross &amp; Net Costs'!J36-'Sheet 2 Gross &amp; Net Costs'!K36)</f>
        <v>0</v>
      </c>
      <c r="Q36" s="640">
        <f t="shared" si="5"/>
        <v>0</v>
      </c>
      <c r="R36" s="640"/>
      <c r="S36" s="668">
        <f t="shared" si="6"/>
        <v>0</v>
      </c>
      <c r="U36" s="473"/>
    </row>
    <row r="37" spans="1:21" s="3" customFormat="1" ht="15" customHeight="1">
      <c r="A37" s="65" t="s">
        <v>36</v>
      </c>
      <c r="B37" s="11"/>
      <c r="C37" s="347">
        <f>SUM(C35:C36)</f>
        <v>85070.564921679164</v>
      </c>
      <c r="D37" s="15">
        <f>ROUND(E37/C37,1)</f>
        <v>167</v>
      </c>
      <c r="E37" s="16">
        <f>SUM(E35:E36)</f>
        <v>14206407.705977891</v>
      </c>
      <c r="F37" s="17"/>
      <c r="G37" s="66">
        <f>H37/$C37</f>
        <v>34.746556113242413</v>
      </c>
      <c r="H37" s="16">
        <f>SUM(H35:H36)</f>
        <v>2955909.157636357</v>
      </c>
      <c r="I37" s="17"/>
      <c r="J37" s="66">
        <f>K37/$C37</f>
        <v>132.24901655113479</v>
      </c>
      <c r="K37" s="67">
        <f>SUM(K35:K36)</f>
        <v>11250498.548341535</v>
      </c>
      <c r="L37" s="636">
        <f t="shared" si="3"/>
        <v>6.0195705750219715E-2</v>
      </c>
      <c r="M37" s="656"/>
      <c r="N37" s="657">
        <f t="shared" si="4"/>
        <v>6.9652110327732344E-2</v>
      </c>
      <c r="O37" s="19"/>
      <c r="P37" s="21">
        <f>SUM(P35:P36)</f>
        <v>0</v>
      </c>
      <c r="Q37" s="636">
        <f t="shared" si="5"/>
        <v>0</v>
      </c>
      <c r="R37" s="636"/>
      <c r="S37" s="662">
        <f t="shared" si="6"/>
        <v>0</v>
      </c>
      <c r="U37" s="930"/>
    </row>
    <row r="38" spans="1:21" s="55" customFormat="1" ht="7.5" customHeight="1">
      <c r="A38" s="68"/>
      <c r="B38" s="69"/>
      <c r="C38" s="470"/>
      <c r="D38" s="71"/>
      <c r="E38" s="72"/>
      <c r="F38" s="73"/>
      <c r="G38" s="74"/>
      <c r="H38" s="72"/>
      <c r="I38" s="73"/>
      <c r="J38" s="74"/>
      <c r="K38" s="75"/>
      <c r="L38" s="637"/>
      <c r="M38" s="658"/>
      <c r="N38" s="659"/>
      <c r="O38" s="76"/>
      <c r="P38" s="78"/>
      <c r="Q38" s="637"/>
      <c r="R38" s="637"/>
      <c r="S38" s="670"/>
    </row>
    <row r="39" spans="1:21" s="3" customFormat="1" ht="15" customHeight="1">
      <c r="A39" s="79" t="s">
        <v>45</v>
      </c>
      <c r="B39" s="80"/>
      <c r="C39" s="471">
        <f>C41-C12</f>
        <v>412272.84421500284</v>
      </c>
      <c r="D39" s="15">
        <f>ROUND(E39/C39,1)</f>
        <v>538.20000000000005</v>
      </c>
      <c r="E39" s="81">
        <f>E41-E12</f>
        <v>221885845.92331213</v>
      </c>
      <c r="F39" s="82"/>
      <c r="G39" s="66">
        <f>H39/$C39</f>
        <v>146.41198831642791</v>
      </c>
      <c r="H39" s="81">
        <f>H41-H12</f>
        <v>60361686.850387499</v>
      </c>
      <c r="I39" s="82"/>
      <c r="J39" s="66">
        <f>K39/$C39</f>
        <v>391.7894698606168</v>
      </c>
      <c r="K39" s="83">
        <f>K41-K12</f>
        <v>161524159.07292461</v>
      </c>
      <c r="L39" s="638">
        <f>K39/K$41</f>
        <v>0.86423376789277961</v>
      </c>
      <c r="M39" s="648"/>
      <c r="N39" s="649">
        <f>N37+N34+N31+N27+N20</f>
        <v>1</v>
      </c>
      <c r="O39" s="40"/>
      <c r="P39" s="42">
        <f>P41-P12</f>
        <v>177200806.25026411</v>
      </c>
      <c r="Q39" s="638"/>
      <c r="R39" s="638"/>
      <c r="S39" s="664"/>
    </row>
    <row r="40" spans="1:21" s="55" customFormat="1" ht="6.75" customHeight="1">
      <c r="A40" s="68"/>
      <c r="B40" s="69"/>
      <c r="C40" s="470"/>
      <c r="D40" s="84"/>
      <c r="E40" s="72"/>
      <c r="F40" s="73"/>
      <c r="G40" s="85"/>
      <c r="H40" s="72"/>
      <c r="I40" s="73"/>
      <c r="J40" s="85"/>
      <c r="K40" s="75"/>
      <c r="L40" s="637"/>
      <c r="M40" s="658"/>
      <c r="N40" s="659"/>
      <c r="O40" s="76"/>
      <c r="P40" s="78"/>
      <c r="Q40" s="637"/>
      <c r="R40" s="637"/>
      <c r="S40" s="670"/>
    </row>
    <row r="41" spans="1:21" ht="17.25" customHeight="1" thickBot="1">
      <c r="A41" s="86" t="s">
        <v>39</v>
      </c>
      <c r="B41" s="87"/>
      <c r="C41" s="472">
        <f>C12+C20+C27+C31+C34+C37</f>
        <v>887242.2075680003</v>
      </c>
      <c r="D41" s="88">
        <f>ROUND(E41/C41,1)</f>
        <v>325.39999999999998</v>
      </c>
      <c r="E41" s="89">
        <f>E12+E20+E27+E31+E34+E37</f>
        <v>288703459.45274431</v>
      </c>
      <c r="F41" s="90"/>
      <c r="G41" s="91">
        <f>H41/C41</f>
        <v>114.74292880159412</v>
      </c>
      <c r="H41" s="89">
        <f>H12+H20+H27+H31+H34+H37</f>
        <v>101804769.45274425</v>
      </c>
      <c r="I41" s="90"/>
      <c r="J41" s="88">
        <f>K41/C41</f>
        <v>210.65126118414031</v>
      </c>
      <c r="K41" s="92">
        <f>K12+K20+K27+K31+K34+K37</f>
        <v>186898690.00000006</v>
      </c>
      <c r="L41" s="643">
        <f>L12+L20+L27+L31+L34+L37</f>
        <v>0.99999999999999989</v>
      </c>
      <c r="M41" s="660"/>
      <c r="N41" s="661"/>
      <c r="O41" s="93"/>
      <c r="P41" s="94">
        <f>P12+P20+P27+P31+P34+P37</f>
        <v>177580928.12507701</v>
      </c>
      <c r="Q41" s="643">
        <f>P41/P$41</f>
        <v>1</v>
      </c>
      <c r="R41" s="643"/>
      <c r="S41" s="671">
        <f>S20+S27+S31+S34+S37</f>
        <v>1</v>
      </c>
    </row>
    <row r="42" spans="1:21" ht="9.75" customHeight="1" thickTop="1" thickBot="1">
      <c r="A42" s="95"/>
      <c r="B42" s="517"/>
      <c r="C42" s="518"/>
      <c r="D42" s="519"/>
      <c r="E42" s="520"/>
      <c r="F42" s="521"/>
      <c r="G42" s="522"/>
      <c r="H42" s="520"/>
      <c r="I42" s="521"/>
      <c r="J42" s="522"/>
      <c r="K42" s="523"/>
      <c r="L42" s="524"/>
      <c r="M42" s="525"/>
      <c r="N42" s="525"/>
      <c r="O42" s="526"/>
      <c r="P42" s="527"/>
      <c r="Q42" s="528"/>
      <c r="R42" s="476"/>
      <c r="S42" s="529"/>
    </row>
    <row r="43" spans="1:21" ht="19.5" customHeight="1" thickBot="1">
      <c r="A43" s="96"/>
      <c r="B43" s="530"/>
      <c r="C43" s="531"/>
      <c r="D43" s="532"/>
      <c r="E43" s="533"/>
      <c r="F43" s="534"/>
      <c r="G43" s="525"/>
      <c r="H43" s="535"/>
      <c r="I43" s="536"/>
      <c r="J43" s="537" t="s">
        <v>28</v>
      </c>
      <c r="K43" s="538">
        <f>K41/2</f>
        <v>93449345.00000003</v>
      </c>
      <c r="L43" s="524"/>
      <c r="M43" s="525"/>
      <c r="N43" s="525"/>
      <c r="O43" s="539"/>
      <c r="P43" s="481"/>
      <c r="Q43" s="540"/>
      <c r="R43" s="540"/>
      <c r="S43" s="541"/>
    </row>
    <row r="44" spans="1:21">
      <c r="E44" s="958">
        <f>E39/E41</f>
        <v>0.76855970601776236</v>
      </c>
      <c r="F44" s="959"/>
      <c r="G44" s="939"/>
      <c r="H44" s="960">
        <f>E41-H41</f>
        <v>186898690.00000006</v>
      </c>
      <c r="I44" s="960"/>
      <c r="J44" s="961"/>
      <c r="K44" s="939"/>
    </row>
    <row r="45" spans="1:21">
      <c r="B45" s="388"/>
      <c r="C45" s="544"/>
      <c r="D45" s="574"/>
      <c r="E45" s="943"/>
      <c r="F45" s="962"/>
      <c r="G45" s="943"/>
      <c r="H45" s="963">
        <f>H44/2</f>
        <v>93449345.00000003</v>
      </c>
      <c r="I45" s="964"/>
      <c r="J45" s="943"/>
      <c r="K45" s="939">
        <f>K41/2</f>
        <v>93449345.00000003</v>
      </c>
    </row>
    <row r="46" spans="1:21" ht="13">
      <c r="B46" s="388"/>
      <c r="C46" s="544"/>
      <c r="D46" s="549"/>
      <c r="E46" s="935"/>
      <c r="F46" s="546"/>
      <c r="G46" s="545"/>
      <c r="H46" s="575"/>
      <c r="I46" s="388"/>
      <c r="J46" s="545"/>
      <c r="K46" s="935"/>
    </row>
    <row r="47" spans="1:21">
      <c r="B47" s="388"/>
      <c r="C47" s="547"/>
      <c r="D47" s="548"/>
      <c r="E47" s="545"/>
      <c r="F47" s="545"/>
      <c r="G47" s="554"/>
      <c r="H47" s="549"/>
      <c r="I47" s="549"/>
      <c r="J47" s="545"/>
      <c r="K47" s="822"/>
    </row>
    <row r="48" spans="1:21">
      <c r="B48" s="388"/>
      <c r="C48" s="547"/>
      <c r="D48" s="548"/>
      <c r="E48" s="545"/>
      <c r="F48" s="50"/>
      <c r="G48" s="545"/>
      <c r="H48" s="549"/>
      <c r="I48" s="549"/>
      <c r="J48" s="545"/>
    </row>
    <row r="49" spans="2:10">
      <c r="B49" s="388"/>
      <c r="C49" s="547"/>
      <c r="D49" s="548"/>
      <c r="E49" s="550"/>
      <c r="F49" s="50"/>
      <c r="G49" s="550"/>
      <c r="H49" s="549"/>
      <c r="I49" s="549"/>
      <c r="J49" s="545"/>
    </row>
    <row r="50" spans="2:10">
      <c r="B50" s="388"/>
      <c r="C50" s="544"/>
      <c r="D50" s="548"/>
      <c r="E50" s="545"/>
      <c r="F50" s="551"/>
      <c r="G50" s="545"/>
      <c r="H50" s="549"/>
      <c r="I50" s="549"/>
      <c r="J50" s="545"/>
    </row>
    <row r="51" spans="2:10">
      <c r="C51" s="552"/>
      <c r="D51" s="553"/>
      <c r="E51" s="542"/>
      <c r="G51" s="542"/>
      <c r="H51" s="543"/>
      <c r="I51" s="543"/>
      <c r="J51" s="542"/>
    </row>
    <row r="52" spans="2:10">
      <c r="E52" s="542"/>
      <c r="G52" s="542"/>
      <c r="H52" s="543"/>
      <c r="I52" s="543"/>
      <c r="J52" s="542"/>
    </row>
    <row r="53" spans="2:10">
      <c r="E53" s="542"/>
      <c r="G53" s="542"/>
      <c r="H53" s="543"/>
      <c r="I53" s="543"/>
      <c r="J53" s="542"/>
    </row>
    <row r="54" spans="2:10">
      <c r="E54" s="542"/>
      <c r="G54" s="542"/>
      <c r="H54" s="543"/>
      <c r="I54" s="543"/>
      <c r="J54" s="542"/>
    </row>
    <row r="55" spans="2:10">
      <c r="E55" s="542"/>
      <c r="G55" s="542"/>
      <c r="H55" s="543"/>
      <c r="I55" s="543"/>
      <c r="J55" s="542"/>
    </row>
  </sheetData>
  <sheetProtection password="D6C3" sheet="1" selectLockedCells="1"/>
  <mergeCells count="5">
    <mergeCell ref="A3:E3"/>
    <mergeCell ref="P4:S4"/>
    <mergeCell ref="J4:N4"/>
    <mergeCell ref="G4:H4"/>
    <mergeCell ref="D4:E4"/>
  </mergeCells>
  <phoneticPr fontId="0" type="noConversion"/>
  <pageMargins left="0.75" right="0.75" top="1" bottom="1" header="0.5" footer="0.5"/>
  <pageSetup scale="49" orientation="landscape"/>
  <headerFooter alignWithMargins="0">
    <oddFooter>&amp;L&amp;12Steward Fee Setting Methodology&amp;R&amp;12Stewardship Ontario, 
August 24, 2009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18"/>
    <pageSetUpPr fitToPage="1"/>
  </sheetPr>
  <dimension ref="A1:AO74"/>
  <sheetViews>
    <sheetView showGridLines="0" zoomScale="80" zoomScaleNormal="80" zoomScalePageLayoutView="80" workbookViewId="0">
      <pane xSplit="2" ySplit="6" topLeftCell="C7" activePane="bottomRight" state="frozen"/>
      <selection activeCell="B14" sqref="B14"/>
      <selection pane="topRight" activeCell="B14" sqref="B14"/>
      <selection pane="bottomLeft" activeCell="B14" sqref="B14"/>
      <selection pane="bottomRight" activeCell="C7" sqref="C7"/>
    </sheetView>
  </sheetViews>
  <sheetFormatPr baseColWidth="10" defaultColWidth="8.83203125" defaultRowHeight="12" x14ac:dyDescent="0"/>
  <cols>
    <col min="1" max="1" width="26.83203125" style="3" customWidth="1"/>
    <col min="2" max="2" width="25.5" style="2" customWidth="1"/>
    <col min="3" max="3" width="11.83203125" style="2" customWidth="1"/>
    <col min="4" max="4" width="10.5" style="2" customWidth="1"/>
    <col min="5" max="5" width="16.5" style="2" bestFit="1" customWidth="1"/>
    <col min="6" max="6" width="14.1640625" style="2" customWidth="1"/>
    <col min="7" max="7" width="13.5" style="5" customWidth="1"/>
    <col min="8" max="8" width="11.1640625" style="5" customWidth="1"/>
    <col min="9" max="9" width="15.5" style="5" customWidth="1"/>
    <col min="10" max="10" width="13.5" style="5" customWidth="1"/>
    <col min="11" max="11" width="14.1640625" style="5" customWidth="1"/>
    <col min="12" max="12" width="11.33203125" style="2" customWidth="1"/>
    <col min="13" max="13" width="16.5" style="2" customWidth="1"/>
    <col min="14" max="15" width="14" style="2" customWidth="1"/>
    <col min="16" max="16" width="16.83203125" style="2" customWidth="1"/>
    <col min="17" max="17" width="12.6640625" style="5" customWidth="1"/>
    <col min="18" max="19" width="15.33203125" style="2" customWidth="1"/>
    <col min="20" max="20" width="19.5" style="2" customWidth="1"/>
    <col min="21" max="21" width="14.83203125" style="2" customWidth="1"/>
    <col min="22" max="22" width="19.83203125" style="2" customWidth="1"/>
    <col min="23" max="23" width="14.83203125" style="2" customWidth="1"/>
    <col min="24" max="24" width="16.5" style="2" customWidth="1"/>
    <col min="25" max="25" width="15.33203125" style="2" customWidth="1"/>
    <col min="26" max="26" width="18" style="2" customWidth="1"/>
    <col min="27" max="27" width="17.5" style="2" customWidth="1"/>
    <col min="28" max="28" width="18.5" style="100" customWidth="1"/>
    <col min="29" max="29" width="16.5" style="100" customWidth="1"/>
    <col min="30" max="30" width="15.1640625" style="100" customWidth="1"/>
    <col min="31" max="31" width="19" style="340" customWidth="1"/>
    <col min="32" max="32" width="19" style="2" customWidth="1"/>
    <col min="33" max="33" width="14" style="2" customWidth="1"/>
    <col min="34" max="34" width="17.83203125" style="2" customWidth="1"/>
    <col min="35" max="35" width="14" style="2" customWidth="1"/>
    <col min="36" max="36" width="18.5" style="2" customWidth="1"/>
    <col min="37" max="37" width="13.83203125" style="2" customWidth="1"/>
    <col min="38" max="38" width="3.5" style="2" customWidth="1"/>
    <col min="39" max="39" width="9.5" style="2" customWidth="1"/>
    <col min="40" max="41" width="13.83203125" style="2" bestFit="1" customWidth="1"/>
    <col min="42" max="16384" width="8.83203125" style="2"/>
  </cols>
  <sheetData>
    <row r="1" spans="1:41" s="784" customFormat="1" ht="23">
      <c r="A1" s="412" t="s">
        <v>130</v>
      </c>
      <c r="C1" s="785"/>
      <c r="E1" s="786"/>
      <c r="G1" s="787"/>
      <c r="H1" s="787"/>
      <c r="I1" s="787"/>
      <c r="J1" s="787"/>
      <c r="K1" s="787"/>
      <c r="Q1" s="787"/>
      <c r="Z1" s="788" t="s">
        <v>77</v>
      </c>
      <c r="AI1" s="788"/>
    </row>
    <row r="2" spans="1:41" ht="24.75" customHeight="1" thickBot="1">
      <c r="A2" s="1086"/>
      <c r="B2" s="1086"/>
      <c r="C2" s="748"/>
      <c r="D2" s="748"/>
      <c r="E2" s="748"/>
      <c r="F2" s="748"/>
      <c r="G2" s="848"/>
      <c r="H2" s="848"/>
      <c r="I2" s="748"/>
      <c r="J2" s="748"/>
      <c r="K2" s="2"/>
      <c r="L2" s="99"/>
      <c r="M2" s="99"/>
      <c r="N2" s="5"/>
      <c r="O2" s="5"/>
      <c r="Q2" s="3"/>
      <c r="Y2" s="103"/>
      <c r="AB2" s="1019"/>
      <c r="AC2" s="285"/>
      <c r="AD2" s="285"/>
      <c r="AE2" s="2"/>
    </row>
    <row r="3" spans="1:41" ht="16" thickBot="1">
      <c r="A3" s="422"/>
      <c r="B3" s="5"/>
      <c r="C3" s="1087" t="s">
        <v>181</v>
      </c>
      <c r="D3" s="1088"/>
      <c r="E3" s="1088"/>
      <c r="F3" s="1089"/>
      <c r="G3" s="1090" t="s">
        <v>190</v>
      </c>
      <c r="H3" s="1091"/>
      <c r="I3" s="1091"/>
      <c r="J3" s="1092"/>
      <c r="K3" s="1093" t="s">
        <v>182</v>
      </c>
      <c r="L3" s="1094"/>
      <c r="M3" s="1094"/>
      <c r="N3" s="1095"/>
      <c r="O3" s="883"/>
      <c r="Q3" s="3"/>
      <c r="AA3" s="361"/>
      <c r="AB3" s="2"/>
      <c r="AC3" s="285"/>
      <c r="AD3" s="285"/>
      <c r="AE3" s="2"/>
      <c r="AJ3" s="1054"/>
      <c r="AK3" s="1054"/>
    </row>
    <row r="4" spans="1:41" s="297" customFormat="1" ht="64.5" customHeight="1">
      <c r="A4" s="423" t="s">
        <v>31</v>
      </c>
      <c r="B4" s="421" t="s">
        <v>27</v>
      </c>
      <c r="C4" s="1102" t="str">
        <f>'Sheet 1 Gen &amp; Rec'!C4</f>
        <v>Quantity Generated</v>
      </c>
      <c r="D4" s="1069" t="str">
        <f>'Sheet 1 Gen &amp; Rec'!D4</f>
        <v>%'age of Generated</v>
      </c>
      <c r="E4" s="1106" t="s">
        <v>184</v>
      </c>
      <c r="F4" s="1071" t="s">
        <v>88</v>
      </c>
      <c r="G4" s="1098" t="s">
        <v>99</v>
      </c>
      <c r="H4" s="1078" t="s">
        <v>193</v>
      </c>
      <c r="I4" s="1096" t="s">
        <v>186</v>
      </c>
      <c r="J4" s="1082" t="s">
        <v>89</v>
      </c>
      <c r="K4" s="1104" t="str">
        <f>'Sheet 1 Gen &amp; Rec'!H4</f>
        <v>Quantity to Disposal</v>
      </c>
      <c r="L4" s="1078" t="s">
        <v>194</v>
      </c>
      <c r="M4" s="1100" t="str">
        <f>E4</f>
        <v>Allocated Fee</v>
      </c>
      <c r="N4" s="1084" t="s">
        <v>90</v>
      </c>
      <c r="O4" s="884" t="s">
        <v>185</v>
      </c>
      <c r="P4" s="1067" t="s">
        <v>188</v>
      </c>
      <c r="Q4" s="1080" t="s">
        <v>91</v>
      </c>
      <c r="R4" s="1073" t="s">
        <v>71</v>
      </c>
      <c r="S4" s="1074"/>
      <c r="T4" s="1075"/>
      <c r="U4" s="1076" t="s">
        <v>158</v>
      </c>
      <c r="V4" s="1077"/>
      <c r="W4" s="1055" t="s">
        <v>160</v>
      </c>
      <c r="X4" s="1055" t="s">
        <v>149</v>
      </c>
      <c r="Y4" s="1057" t="s">
        <v>177</v>
      </c>
      <c r="Z4" s="1065" t="s">
        <v>92</v>
      </c>
      <c r="AA4" s="1063" t="s">
        <v>113</v>
      </c>
      <c r="AB4" s="1061" t="s">
        <v>118</v>
      </c>
      <c r="AC4" s="742" t="s">
        <v>136</v>
      </c>
      <c r="AD4" s="742" t="s">
        <v>137</v>
      </c>
      <c r="AE4" s="1061" t="s">
        <v>174</v>
      </c>
      <c r="AF4" s="1061" t="s">
        <v>165</v>
      </c>
      <c r="AG4" s="348" t="s">
        <v>179</v>
      </c>
      <c r="AH4" s="1059" t="s">
        <v>140</v>
      </c>
      <c r="AI4" s="1060"/>
      <c r="AJ4" s="1059" t="s">
        <v>141</v>
      </c>
      <c r="AK4" s="1060"/>
    </row>
    <row r="5" spans="1:41" s="297" customFormat="1" ht="42" customHeight="1" thickBot="1">
      <c r="A5" s="289"/>
      <c r="B5" s="349"/>
      <c r="C5" s="1103"/>
      <c r="D5" s="1070"/>
      <c r="E5" s="1107"/>
      <c r="F5" s="1072"/>
      <c r="G5" s="1099"/>
      <c r="H5" s="1079"/>
      <c r="I5" s="1097"/>
      <c r="J5" s="1083"/>
      <c r="K5" s="1105"/>
      <c r="L5" s="1079"/>
      <c r="M5" s="1101"/>
      <c r="N5" s="1085"/>
      <c r="O5" s="858"/>
      <c r="P5" s="1068"/>
      <c r="Q5" s="1081"/>
      <c r="R5" s="459" t="s">
        <v>93</v>
      </c>
      <c r="S5" s="460" t="s">
        <v>132</v>
      </c>
      <c r="T5" s="460" t="s">
        <v>133</v>
      </c>
      <c r="U5" s="821" t="s">
        <v>152</v>
      </c>
      <c r="V5" s="821" t="s">
        <v>159</v>
      </c>
      <c r="W5" s="1056"/>
      <c r="X5" s="1056"/>
      <c r="Y5" s="1058"/>
      <c r="Z5" s="1066"/>
      <c r="AA5" s="1064"/>
      <c r="AB5" s="1062"/>
      <c r="AC5" s="743"/>
      <c r="AD5" s="743"/>
      <c r="AE5" s="1062"/>
      <c r="AF5" s="1062"/>
      <c r="AG5" s="359" t="s">
        <v>68</v>
      </c>
      <c r="AH5" s="457" t="s">
        <v>29</v>
      </c>
      <c r="AI5" s="458" t="s">
        <v>72</v>
      </c>
      <c r="AJ5" s="457" t="s">
        <v>29</v>
      </c>
      <c r="AK5" s="458" t="s">
        <v>72</v>
      </c>
    </row>
    <row r="6" spans="1:41" s="3" customFormat="1" ht="16" thickBot="1">
      <c r="A6" s="107"/>
      <c r="B6" s="596" t="s">
        <v>30</v>
      </c>
      <c r="C6" s="605">
        <f>+'BB Fees'!B3</f>
        <v>0.45</v>
      </c>
      <c r="D6" s="599"/>
      <c r="E6" s="108"/>
      <c r="F6" s="597"/>
      <c r="G6" s="606">
        <f>+'BB Fees'!B4</f>
        <v>0.45</v>
      </c>
      <c r="H6" s="886"/>
      <c r="I6" s="600"/>
      <c r="J6" s="598"/>
      <c r="K6" s="607">
        <f>+'BB Fees'!B5</f>
        <v>0.1</v>
      </c>
      <c r="L6" s="601"/>
      <c r="M6" s="601"/>
      <c r="N6" s="109"/>
      <c r="O6" s="109"/>
      <c r="P6" s="110"/>
      <c r="Q6" s="375"/>
      <c r="R6" s="461">
        <f>Parameters!B22</f>
        <v>0</v>
      </c>
      <c r="S6" s="750">
        <f>Parameters!B23</f>
        <v>0</v>
      </c>
      <c r="T6" s="111">
        <f>Parameters!B24</f>
        <v>3000000</v>
      </c>
      <c r="U6" s="113">
        <f>Parameters!B18</f>
        <v>1025000</v>
      </c>
      <c r="V6" s="113">
        <f>Parameters!B19</f>
        <v>100000</v>
      </c>
      <c r="W6" s="113">
        <f>Parameters!B25+Parameters!B26</f>
        <v>770000</v>
      </c>
      <c r="X6" s="113">
        <f>Parameters!B29</f>
        <v>3750000</v>
      </c>
      <c r="Y6" s="114">
        <f>Parameters!B34+Parameters!B36</f>
        <v>480000</v>
      </c>
      <c r="Z6" s="115"/>
      <c r="AA6" s="116"/>
      <c r="AB6" s="117"/>
      <c r="AC6" s="362"/>
      <c r="AD6" s="362"/>
      <c r="AE6" s="117"/>
      <c r="AF6" s="117"/>
      <c r="AG6" s="350"/>
      <c r="AH6" s="107"/>
      <c r="AI6" s="4"/>
      <c r="AJ6" s="118"/>
      <c r="AK6" s="119"/>
    </row>
    <row r="7" spans="1:41" s="55" customFormat="1" ht="15" customHeight="1">
      <c r="A7" s="120" t="s">
        <v>44</v>
      </c>
      <c r="B7" s="121"/>
      <c r="C7" s="602"/>
      <c r="D7" s="124"/>
      <c r="E7" s="125"/>
      <c r="F7" s="126"/>
      <c r="G7" s="603"/>
      <c r="H7" s="887"/>
      <c r="I7" s="127"/>
      <c r="J7" s="128"/>
      <c r="K7" s="604"/>
      <c r="L7" s="129"/>
      <c r="M7" s="879"/>
      <c r="N7" s="130"/>
      <c r="O7" s="130"/>
      <c r="P7" s="131"/>
      <c r="Q7" s="376"/>
      <c r="R7" s="132"/>
      <c r="S7" s="751"/>
      <c r="T7" s="133"/>
      <c r="U7" s="134"/>
      <c r="V7" s="134"/>
      <c r="W7" s="134"/>
      <c r="X7" s="134"/>
      <c r="Y7" s="135"/>
      <c r="Z7" s="136"/>
      <c r="AA7" s="137"/>
      <c r="AB7" s="138"/>
      <c r="AC7" s="411"/>
      <c r="AD7" s="411"/>
      <c r="AE7" s="138"/>
      <c r="AF7" s="138"/>
      <c r="AG7" s="351"/>
      <c r="AH7" s="687"/>
      <c r="AI7" s="678"/>
      <c r="AJ7" s="139"/>
      <c r="AK7" s="140"/>
    </row>
    <row r="8" spans="1:41" s="55" customFormat="1" ht="15" customHeight="1">
      <c r="A8" s="141" t="s">
        <v>0</v>
      </c>
      <c r="B8" s="23" t="s">
        <v>96</v>
      </c>
      <c r="C8" s="559">
        <f>'Sheet 1 Gen &amp; Rec'!C7</f>
        <v>212787.8</v>
      </c>
      <c r="D8" s="868">
        <f t="shared" ref="D8:D13" si="0">C8/$C$13</f>
        <v>0.39577174735600296</v>
      </c>
      <c r="E8" s="142">
        <f>D8*$E$42</f>
        <v>11900033.237760508</v>
      </c>
      <c r="F8" s="143">
        <f t="shared" ref="F8:F13" si="1">E8/AG8</f>
        <v>62.64102234752346</v>
      </c>
      <c r="G8" s="890">
        <f>+'Sheet 2 Gross &amp; Net Costs'!E7</f>
        <v>27739917.463039618</v>
      </c>
      <c r="H8" s="891">
        <f t="shared" ref="H8:H13" si="2">G8/$G$13</f>
        <v>0.41515875826395077</v>
      </c>
      <c r="I8" s="929">
        <f t="shared" ref="I8:I13" si="3">H8*$I$42</f>
        <v>12482960.330779811</v>
      </c>
      <c r="J8" s="144">
        <f t="shared" ref="J8:J13" si="4">I8/AG8</f>
        <v>65.709513698029212</v>
      </c>
      <c r="K8" s="876">
        <f>+IF('Sheet 1 Gen &amp; Rec'!F7&lt;'Sheet 2 Gross &amp; Net Costs'!$S$3,'Sheet 1 Gen &amp; Rec'!C7*'Sheet 2 Gross &amp; Net Costs'!$S$3-'Sheet 1 Gen &amp; Rec'!E7,0)</f>
        <v>0</v>
      </c>
      <c r="L8" s="875">
        <f t="shared" ref="L8:L13" si="5">K8/$K$13</f>
        <v>0</v>
      </c>
      <c r="M8" s="142">
        <f t="shared" ref="M8:M13" si="6">L8*$M$42</f>
        <v>0</v>
      </c>
      <c r="N8" s="145">
        <f t="shared" ref="N8:N13" si="7">M8/AG8</f>
        <v>0</v>
      </c>
      <c r="O8" s="885">
        <f>'Sheet 2 Gross &amp; Net Costs'!H7</f>
        <v>18094327.914902955</v>
      </c>
      <c r="P8" s="146">
        <f>(M8+E8+I8-O8)/2</f>
        <v>3144332.8268186823</v>
      </c>
      <c r="Q8" s="377">
        <f t="shared" ref="Q8:Q13" si="8">P8/AG8</f>
        <v>16.551569137454592</v>
      </c>
      <c r="R8" s="775"/>
      <c r="S8" s="752"/>
      <c r="T8" s="147"/>
      <c r="U8" s="148">
        <f>U$6*'Sheet 1 Gen &amp; Rec'!$O7</f>
        <v>67445.967404859563</v>
      </c>
      <c r="V8" s="148">
        <f>V$6*'Sheet 1 Gen &amp; Rec'!$O7</f>
        <v>6580.0943809619084</v>
      </c>
      <c r="W8" s="148">
        <f>W$6*'Sheet 1 Gen &amp; Rec'!$O7</f>
        <v>50666.726733406693</v>
      </c>
      <c r="X8" s="148">
        <f>X$6*'Sheet 1 Gen &amp; Rec'!$O7</f>
        <v>246753.53928607155</v>
      </c>
      <c r="Y8" s="148">
        <f>Y$6*'Sheet 1 Gen &amp; Rec'!$O7</f>
        <v>31584.453028617158</v>
      </c>
      <c r="Z8" s="149">
        <f>SUM(P8,R8:Y8)</f>
        <v>3547363.6076525985</v>
      </c>
      <c r="AA8" s="150">
        <f>P8</f>
        <v>3144332.8268186823</v>
      </c>
      <c r="AB8" s="151">
        <f>Z8-AA8</f>
        <v>403030.78083391627</v>
      </c>
      <c r="AC8" s="364">
        <f t="shared" ref="AC8:AC13" si="9">P8</f>
        <v>3144332.8268186823</v>
      </c>
      <c r="AD8" s="364">
        <f>SUM(R8:Y8)</f>
        <v>403030.78083391686</v>
      </c>
      <c r="AE8" s="151">
        <f>AB8</f>
        <v>403030.78083391627</v>
      </c>
      <c r="AF8" s="151">
        <f>AB8+AA8</f>
        <v>3547363.6076525985</v>
      </c>
      <c r="AG8" s="352">
        <f>Parameters!E8</f>
        <v>189971.8873</v>
      </c>
      <c r="AH8" s="688">
        <f>AE8/AG8</f>
        <v>2.1215285406806412</v>
      </c>
      <c r="AI8" s="679">
        <f>AH8/1000*100</f>
        <v>0.21215285406806411</v>
      </c>
      <c r="AJ8" s="152">
        <f t="shared" ref="AJ8:AJ13" si="10">AF8/AG8</f>
        <v>18.673097678135235</v>
      </c>
      <c r="AK8" s="153">
        <f>AJ8/1000*100</f>
        <v>1.8673097678135235</v>
      </c>
      <c r="AL8" s="770"/>
      <c r="AM8" s="957">
        <v>1</v>
      </c>
      <c r="AN8" s="931"/>
      <c r="AO8" s="932"/>
    </row>
    <row r="9" spans="1:41" s="55" customFormat="1" ht="15" customHeight="1">
      <c r="A9" s="154"/>
      <c r="B9" s="25" t="s">
        <v>74</v>
      </c>
      <c r="C9" s="559">
        <f>'Sheet 1 Gen &amp; Rec'!C8</f>
        <v>117427.86</v>
      </c>
      <c r="D9" s="868">
        <f t="shared" si="0"/>
        <v>0.21840833610045354</v>
      </c>
      <c r="E9" s="142">
        <f>D9*$E$42</f>
        <v>6567084.3772015488</v>
      </c>
      <c r="F9" s="143">
        <f t="shared" si="1"/>
        <v>46.892707629514291</v>
      </c>
      <c r="G9" s="890">
        <f>+'Sheet 2 Gross &amp; Net Costs'!E8</f>
        <v>15308392.418462768</v>
      </c>
      <c r="H9" s="891">
        <f t="shared" si="2"/>
        <v>0.22910714121389034</v>
      </c>
      <c r="I9" s="929">
        <f t="shared" si="3"/>
        <v>6888775.1934479577</v>
      </c>
      <c r="J9" s="144">
        <f t="shared" si="4"/>
        <v>49.18976253651563</v>
      </c>
      <c r="K9" s="876">
        <f>+IF('Sheet 1 Gen &amp; Rec'!F8&lt;'Sheet 2 Gross &amp; Net Costs'!$S$3,'Sheet 1 Gen &amp; Rec'!C8*'Sheet 2 Gross &amp; Net Costs'!$S$3-'Sheet 1 Gen &amp; Rec'!E8,0)</f>
        <v>0</v>
      </c>
      <c r="L9" s="875">
        <f t="shared" si="5"/>
        <v>0</v>
      </c>
      <c r="M9" s="142">
        <f t="shared" si="6"/>
        <v>0</v>
      </c>
      <c r="N9" s="145">
        <f t="shared" si="7"/>
        <v>0</v>
      </c>
      <c r="O9" s="885">
        <f>'Sheet 2 Gross &amp; Net Costs'!H8</f>
        <v>9985432.4598746561</v>
      </c>
      <c r="P9" s="146">
        <f>(M9+E9+I9-O9)/2</f>
        <v>1735213.5553874252</v>
      </c>
      <c r="Q9" s="377">
        <f t="shared" si="8"/>
        <v>12.390409084743098</v>
      </c>
      <c r="R9" s="776"/>
      <c r="S9" s="752"/>
      <c r="T9" s="159"/>
      <c r="U9" s="148">
        <f>U$6*'Sheet 1 Gen &amp; Rec'!$O8</f>
        <v>37220.346363759629</v>
      </c>
      <c r="V9" s="148">
        <f>V$6*'Sheet 1 Gen &amp; Rec'!$O8</f>
        <v>3631.2533037814273</v>
      </c>
      <c r="W9" s="148">
        <f>W$6*'Sheet 1 Gen &amp; Rec'!$O8</f>
        <v>27960.650439116991</v>
      </c>
      <c r="X9" s="148">
        <f>X$6*'Sheet 1 Gen &amp; Rec'!$O8</f>
        <v>136171.99889180352</v>
      </c>
      <c r="Y9" s="148">
        <f>Y$6*'Sheet 1 Gen &amp; Rec'!$O8</f>
        <v>17430.015858150851</v>
      </c>
      <c r="Z9" s="149">
        <f>SUM(P9,R9:Y9)</f>
        <v>1957627.8202440375</v>
      </c>
      <c r="AA9" s="155"/>
      <c r="AB9" s="151">
        <f>Z9-AA9</f>
        <v>1957627.8202440375</v>
      </c>
      <c r="AC9" s="364">
        <f t="shared" si="9"/>
        <v>1735213.5553874252</v>
      </c>
      <c r="AD9" s="364">
        <f>SUM(R9:Y9)</f>
        <v>222414.26485661243</v>
      </c>
      <c r="AE9" s="151">
        <f>AB9</f>
        <v>1957627.8202440375</v>
      </c>
      <c r="AF9" s="151">
        <f>AB9+AA9</f>
        <v>1957627.8202440375</v>
      </c>
      <c r="AG9" s="352">
        <f>Parameters!E9</f>
        <v>140044.89630000002</v>
      </c>
      <c r="AH9" s="688">
        <f>AE9/AG9</f>
        <v>13.978573100232552</v>
      </c>
      <c r="AI9" s="680">
        <f>AH9/1000*100</f>
        <v>1.3978573100232552</v>
      </c>
      <c r="AJ9" s="152">
        <f t="shared" si="10"/>
        <v>13.978573100232552</v>
      </c>
      <c r="AK9" s="160">
        <f>AJ9/1000*100</f>
        <v>1.3978573100232552</v>
      </c>
      <c r="AL9" s="769"/>
      <c r="AM9" s="957">
        <v>2</v>
      </c>
      <c r="AN9" s="931"/>
      <c r="AO9" s="932"/>
    </row>
    <row r="10" spans="1:41" s="100" customFormat="1" ht="15" customHeight="1">
      <c r="A10" s="22"/>
      <c r="B10" s="156" t="s">
        <v>3</v>
      </c>
      <c r="C10" s="559">
        <f>'Sheet 1 Gen &amp; Rec'!C9</f>
        <v>83017.45</v>
      </c>
      <c r="D10" s="868">
        <f t="shared" si="0"/>
        <v>0.15440716642373109</v>
      </c>
      <c r="E10" s="142">
        <f>D10*$E$42</f>
        <v>4642702.3274554322</v>
      </c>
      <c r="F10" s="157">
        <f t="shared" si="1"/>
        <v>86.2924850681555</v>
      </c>
      <c r="G10" s="890">
        <f>+'Sheet 2 Gross &amp; Net Costs'!E9</f>
        <v>10822505.853211598</v>
      </c>
      <c r="H10" s="891">
        <f t="shared" si="2"/>
        <v>0.16197085291656582</v>
      </c>
      <c r="I10" s="929">
        <f t="shared" si="3"/>
        <v>4870126.6478270674</v>
      </c>
      <c r="J10" s="158">
        <f t="shared" si="4"/>
        <v>90.519551200254654</v>
      </c>
      <c r="K10" s="876">
        <f>+IF('Sheet 1 Gen &amp; Rec'!F9&lt;'Sheet 2 Gross &amp; Net Costs'!$S$3,'Sheet 1 Gen &amp; Rec'!C9*'Sheet 2 Gross &amp; Net Costs'!$S$3-'Sheet 1 Gen &amp; Rec'!E9,0)</f>
        <v>0</v>
      </c>
      <c r="L10" s="875">
        <f t="shared" si="5"/>
        <v>0</v>
      </c>
      <c r="M10" s="142">
        <f t="shared" si="6"/>
        <v>0</v>
      </c>
      <c r="N10" s="145">
        <f t="shared" si="7"/>
        <v>0</v>
      </c>
      <c r="O10" s="885">
        <f>'Sheet 2 Gross &amp; Net Costs'!H9</f>
        <v>7059356.6123577598</v>
      </c>
      <c r="P10" s="146">
        <f>(M10+E10+I10-O10)/2</f>
        <v>1226736.1814623699</v>
      </c>
      <c r="Q10" s="378">
        <f t="shared" si="8"/>
        <v>22.800969382722897</v>
      </c>
      <c r="R10" s="776"/>
      <c r="S10" s="752"/>
      <c r="T10" s="159"/>
      <c r="U10" s="148">
        <f>U$6*'Sheet 1 Gen &amp; Rec'!$O9</f>
        <v>24967.020898931711</v>
      </c>
      <c r="V10" s="148">
        <f>V$6*'Sheet 1 Gen &amp; Rec'!$O9</f>
        <v>2435.8069169689475</v>
      </c>
      <c r="W10" s="148">
        <f>W$6*'Sheet 1 Gen &amp; Rec'!$O9</f>
        <v>18755.713260660894</v>
      </c>
      <c r="X10" s="148">
        <f>X$6*'Sheet 1 Gen &amp; Rec'!$O9</f>
        <v>91342.759386335529</v>
      </c>
      <c r="Y10" s="148">
        <f>Y$6*'Sheet 1 Gen &amp; Rec'!$O9</f>
        <v>11691.873201450948</v>
      </c>
      <c r="Z10" s="149">
        <f>SUM(P10,R10:Y10)</f>
        <v>1375929.3551267178</v>
      </c>
      <c r="AA10" s="155"/>
      <c r="AB10" s="151">
        <f>Z10-AA10</f>
        <v>1375929.3551267178</v>
      </c>
      <c r="AC10" s="364">
        <f t="shared" si="9"/>
        <v>1226736.1814623699</v>
      </c>
      <c r="AD10" s="364">
        <f>SUM(R10:Y10)</f>
        <v>149193.17366434803</v>
      </c>
      <c r="AE10" s="151">
        <f>AB10</f>
        <v>1375929.3551267178</v>
      </c>
      <c r="AF10" s="151">
        <f>AB10+AA10</f>
        <v>1375929.3551267178</v>
      </c>
      <c r="AG10" s="352">
        <f>Parameters!E10</f>
        <v>53801.930999999997</v>
      </c>
      <c r="AH10" s="688">
        <f>AE10/AG10</f>
        <v>25.573977170572519</v>
      </c>
      <c r="AI10" s="680">
        <f>AH10/1000*100</f>
        <v>2.5573977170572517</v>
      </c>
      <c r="AJ10" s="152">
        <f t="shared" si="10"/>
        <v>25.573977170572519</v>
      </c>
      <c r="AK10" s="160">
        <f t="shared" ref="AK10:AK37" si="11">AJ10/1000*100</f>
        <v>2.5573977170572517</v>
      </c>
      <c r="AL10" s="768"/>
      <c r="AM10" s="940">
        <v>3</v>
      </c>
      <c r="AN10" s="931"/>
      <c r="AO10" s="932"/>
    </row>
    <row r="11" spans="1:41" s="100" customFormat="1" ht="15" customHeight="1">
      <c r="A11" s="27"/>
      <c r="B11" s="161" t="s">
        <v>1</v>
      </c>
      <c r="C11" s="559">
        <f>'Sheet 1 Gen &amp; Rec'!C10</f>
        <v>10389</v>
      </c>
      <c r="D11" s="868">
        <f t="shared" si="0"/>
        <v>1.9322877924775363E-2</v>
      </c>
      <c r="E11" s="142">
        <f>D11*$E$42</f>
        <v>580998.74761191162</v>
      </c>
      <c r="F11" s="157">
        <f t="shared" si="1"/>
        <v>60.770097024209711</v>
      </c>
      <c r="G11" s="890">
        <f>+'Sheet 2 Gross &amp; Net Costs'!E10</f>
        <v>2707281.4977448657</v>
      </c>
      <c r="H11" s="891">
        <f t="shared" si="2"/>
        <v>4.0517482662746525E-2</v>
      </c>
      <c r="I11" s="929">
        <f t="shared" si="3"/>
        <v>1218276.4273048495</v>
      </c>
      <c r="J11" s="158">
        <f t="shared" si="4"/>
        <v>127.42674058064598</v>
      </c>
      <c r="K11" s="876">
        <f>+IF('Sheet 1 Gen &amp; Rec'!F10&lt;'Sheet 2 Gross &amp; Net Costs'!$S$3,'Sheet 1 Gen &amp; Rec'!C10*'Sheet 2 Gross &amp; Net Costs'!$S$3-'Sheet 1 Gen &amp; Rec'!E10,0)</f>
        <v>0</v>
      </c>
      <c r="L11" s="875">
        <f t="shared" si="5"/>
        <v>0</v>
      </c>
      <c r="M11" s="142">
        <f t="shared" si="6"/>
        <v>0</v>
      </c>
      <c r="N11" s="145">
        <f t="shared" si="7"/>
        <v>0</v>
      </c>
      <c r="O11" s="885">
        <f>'Sheet 2 Gross &amp; Net Costs'!H10</f>
        <v>829746.6995237181</v>
      </c>
      <c r="P11" s="146">
        <f>(M11+E11+I11-O11)/2</f>
        <v>484764.23769652145</v>
      </c>
      <c r="Q11" s="378">
        <f t="shared" si="8"/>
        <v>50.704360172498063</v>
      </c>
      <c r="R11" s="777"/>
      <c r="S11" s="753"/>
      <c r="T11" s="162"/>
      <c r="U11" s="148">
        <f>U$6*'Sheet 1 Gen &amp; Rec'!$O10</f>
        <v>3124.4320334941808</v>
      </c>
      <c r="V11" s="148">
        <f>V$6*'Sheet 1 Gen &amp; Rec'!$O10</f>
        <v>304.82263741406643</v>
      </c>
      <c r="W11" s="148">
        <f>W$6*'Sheet 1 Gen &amp; Rec'!$O10</f>
        <v>2347.1343080883116</v>
      </c>
      <c r="X11" s="148">
        <f>X$6*'Sheet 1 Gen &amp; Rec'!$O10</f>
        <v>11430.848903027492</v>
      </c>
      <c r="Y11" s="148">
        <f>Y$6*'Sheet 1 Gen &amp; Rec'!$O10</f>
        <v>1463.148659587519</v>
      </c>
      <c r="Z11" s="149">
        <f>SUM(P11,R11:Y11)</f>
        <v>503434.62423813308</v>
      </c>
      <c r="AA11" s="155"/>
      <c r="AB11" s="151">
        <f>Z11-AA11</f>
        <v>503434.62423813308</v>
      </c>
      <c r="AC11" s="364">
        <f t="shared" si="9"/>
        <v>484764.23769652145</v>
      </c>
      <c r="AD11" s="364">
        <f>SUM(R11:Y11)</f>
        <v>18670.38654161157</v>
      </c>
      <c r="AE11" s="151">
        <f>AB11</f>
        <v>503434.62423813308</v>
      </c>
      <c r="AF11" s="151">
        <f>AB11+AA11</f>
        <v>503434.62423813308</v>
      </c>
      <c r="AG11" s="352">
        <f>Parameters!E11</f>
        <v>9560.6026000000002</v>
      </c>
      <c r="AH11" s="688">
        <f>AE11/AG11</f>
        <v>52.657206381335534</v>
      </c>
      <c r="AI11" s="680">
        <f>AH11/1000*100</f>
        <v>5.265720638133554</v>
      </c>
      <c r="AJ11" s="164">
        <f t="shared" si="10"/>
        <v>52.657206381335534</v>
      </c>
      <c r="AK11" s="165">
        <f t="shared" si="11"/>
        <v>5.265720638133554</v>
      </c>
      <c r="AM11" s="940">
        <v>4</v>
      </c>
      <c r="AN11" s="931"/>
      <c r="AO11" s="932"/>
    </row>
    <row r="12" spans="1:41" s="100" customFormat="1" ht="15" customHeight="1">
      <c r="A12" s="29"/>
      <c r="B12" s="166" t="s">
        <v>2</v>
      </c>
      <c r="C12" s="559">
        <f>'Sheet 1 Gen &amp; Rec'!C11</f>
        <v>114030.72</v>
      </c>
      <c r="D12" s="868">
        <f t="shared" si="0"/>
        <v>0.21208987219503711</v>
      </c>
      <c r="E12" s="142">
        <f>D12*$E$42</f>
        <v>6377101.3099706005</v>
      </c>
      <c r="F12" s="187">
        <f t="shared" si="1"/>
        <v>104.44506995795716</v>
      </c>
      <c r="G12" s="890">
        <f>+'Sheet 2 Gross &amp; Net Costs'!E11</f>
        <v>10239516.296973327</v>
      </c>
      <c r="H12" s="891">
        <f t="shared" si="2"/>
        <v>0.15324576494284656</v>
      </c>
      <c r="I12" s="929">
        <f t="shared" si="3"/>
        <v>4607781.4006403144</v>
      </c>
      <c r="J12" s="189">
        <f t="shared" si="4"/>
        <v>75.466897473998287</v>
      </c>
      <c r="K12" s="876">
        <f>+IF('Sheet 1 Gen &amp; Rec'!F11&lt;'Sheet 2 Gross &amp; Net Costs'!$S$3,'Sheet 1 Gen &amp; Rec'!C11*'Sheet 2 Gross &amp; Net Costs'!$S$3-'Sheet 1 Gen &amp; Rec'!E11,0)</f>
        <v>5054.4652144380671</v>
      </c>
      <c r="L12" s="875">
        <f t="shared" si="5"/>
        <v>1</v>
      </c>
      <c r="M12" s="142">
        <f t="shared" si="6"/>
        <v>6681760</v>
      </c>
      <c r="N12" s="145">
        <f t="shared" si="7"/>
        <v>109.43481320441767</v>
      </c>
      <c r="O12" s="885">
        <f>'Sheet 2 Gross &amp; Net Costs'!H11</f>
        <v>5474218.9156976594</v>
      </c>
      <c r="P12" s="146">
        <f>(M12+E12+I12-O12)/2</f>
        <v>6096211.8974566273</v>
      </c>
      <c r="Q12" s="380">
        <f t="shared" si="8"/>
        <v>99.844623310731691</v>
      </c>
      <c r="R12" s="778"/>
      <c r="S12" s="754"/>
      <c r="T12" s="167"/>
      <c r="U12" s="447">
        <f>U$6*'Sheet 1 Gen &amp; Rec'!$O11</f>
        <v>53474.014818694566</v>
      </c>
      <c r="V12" s="447">
        <f>V$6*'Sheet 1 Gen &amp; Rec'!$O11</f>
        <v>5216.9770554823972</v>
      </c>
      <c r="W12" s="447">
        <f>W$6*'Sheet 1 Gen &amp; Rec'!$O11</f>
        <v>40170.723327214459</v>
      </c>
      <c r="X12" s="447">
        <f>X$6*'Sheet 1 Gen &amp; Rec'!$O11</f>
        <v>195636.63958058989</v>
      </c>
      <c r="Y12" s="447">
        <f>Y$6*'Sheet 1 Gen &amp; Rec'!$O11</f>
        <v>25041.489866315504</v>
      </c>
      <c r="Z12" s="149">
        <f>SUM(P12,R12:Y12)</f>
        <v>6415751.7421049243</v>
      </c>
      <c r="AA12" s="455"/>
      <c r="AB12" s="221">
        <f>Z12-AA12</f>
        <v>6415751.7421049243</v>
      </c>
      <c r="AC12" s="744">
        <f t="shared" si="9"/>
        <v>6096211.8974566273</v>
      </c>
      <c r="AD12" s="744">
        <f>SUM(R12:Y12)</f>
        <v>319539.84464829683</v>
      </c>
      <c r="AE12" s="151">
        <f>AB12</f>
        <v>6415751.7421049243</v>
      </c>
      <c r="AF12" s="151">
        <f>AB12+AA12</f>
        <v>6415751.7421049243</v>
      </c>
      <c r="AG12" s="352">
        <f>Parameters!E12</f>
        <v>61056.987299999986</v>
      </c>
      <c r="AH12" s="688">
        <f>AE12/AG12</f>
        <v>105.07809221869232</v>
      </c>
      <c r="AI12" s="681">
        <f>AH12/1000*100</f>
        <v>10.507809221869232</v>
      </c>
      <c r="AJ12" s="169">
        <f t="shared" si="10"/>
        <v>105.07809221869232</v>
      </c>
      <c r="AK12" s="170">
        <f t="shared" si="11"/>
        <v>10.507809221869232</v>
      </c>
      <c r="AM12" s="940">
        <v>5</v>
      </c>
      <c r="AN12" s="931"/>
      <c r="AO12" s="932"/>
    </row>
    <row r="13" spans="1:41" s="55" customFormat="1" ht="15" customHeight="1" thickBot="1">
      <c r="A13" s="171" t="s">
        <v>0</v>
      </c>
      <c r="B13" s="172"/>
      <c r="C13" s="870">
        <f>'Sheet 1 Gen &amp; Rec'!C12</f>
        <v>537652.82999999996</v>
      </c>
      <c r="D13" s="869">
        <f t="shared" si="0"/>
        <v>1</v>
      </c>
      <c r="E13" s="173">
        <f>SUM(E8:E12)</f>
        <v>30067920</v>
      </c>
      <c r="F13" s="174">
        <f t="shared" si="1"/>
        <v>66.165312283055059</v>
      </c>
      <c r="G13" s="890">
        <f>+SUM(G8:G12)</f>
        <v>66817613.529432178</v>
      </c>
      <c r="H13" s="891">
        <f t="shared" si="2"/>
        <v>1</v>
      </c>
      <c r="I13" s="929">
        <f t="shared" si="3"/>
        <v>30067920</v>
      </c>
      <c r="J13" s="175">
        <f t="shared" si="4"/>
        <v>66.165312283055059</v>
      </c>
      <c r="K13" s="877">
        <f>+SUM(K8:K12)</f>
        <v>5054.4652144380671</v>
      </c>
      <c r="L13" s="875">
        <f t="shared" si="5"/>
        <v>1</v>
      </c>
      <c r="M13" s="882">
        <f t="shared" si="6"/>
        <v>6681760</v>
      </c>
      <c r="N13" s="145">
        <f t="shared" si="7"/>
        <v>14.703402729567792</v>
      </c>
      <c r="O13" s="885">
        <f>'Sheet 2 Gross &amp; Net Costs'!H12</f>
        <v>41443082.602356747</v>
      </c>
      <c r="P13" s="233">
        <f>+SUM(P8:P12)</f>
        <v>12687258.698821627</v>
      </c>
      <c r="Q13" s="379">
        <f t="shared" si="8"/>
        <v>27.91867325120726</v>
      </c>
      <c r="R13" s="779"/>
      <c r="S13" s="755"/>
      <c r="T13" s="176"/>
      <c r="U13" s="177">
        <f t="shared" ref="U13:Z13" si="12">SUM(U8:U12)</f>
        <v>186231.78151973963</v>
      </c>
      <c r="V13" s="177">
        <f t="shared" si="12"/>
        <v>18168.954294608746</v>
      </c>
      <c r="W13" s="177">
        <f t="shared" si="12"/>
        <v>139900.94806848734</v>
      </c>
      <c r="X13" s="177">
        <f t="shared" si="12"/>
        <v>681335.78604782792</v>
      </c>
      <c r="Y13" s="177">
        <f t="shared" si="12"/>
        <v>87210.980614121974</v>
      </c>
      <c r="Z13" s="178">
        <f t="shared" si="12"/>
        <v>13800107.149366412</v>
      </c>
      <c r="AA13" s="179">
        <f t="shared" ref="AA13:AG13" si="13">SUM(AA8:AA12)</f>
        <v>3144332.8268186823</v>
      </c>
      <c r="AB13" s="180">
        <f>SUM(AB8:AB12)</f>
        <v>10655774.32254773</v>
      </c>
      <c r="AC13" s="180">
        <f t="shared" si="9"/>
        <v>12687258.698821627</v>
      </c>
      <c r="AD13" s="180">
        <f>SUM(AD8:AD12)</f>
        <v>1112848.4505447857</v>
      </c>
      <c r="AE13" s="180">
        <f t="shared" si="13"/>
        <v>10655774.32254773</v>
      </c>
      <c r="AF13" s="180">
        <f t="shared" si="13"/>
        <v>13800107.149366412</v>
      </c>
      <c r="AG13" s="353">
        <f t="shared" si="13"/>
        <v>454436.30449999997</v>
      </c>
      <c r="AH13" s="689"/>
      <c r="AI13" s="682"/>
      <c r="AJ13" s="181">
        <f t="shared" si="10"/>
        <v>30.367527886114154</v>
      </c>
      <c r="AK13" s="182">
        <f t="shared" si="11"/>
        <v>3.0367527886114152</v>
      </c>
      <c r="AM13" s="965"/>
      <c r="AN13" s="931"/>
      <c r="AO13" s="932"/>
    </row>
    <row r="14" spans="1:41" s="55" customFormat="1" ht="6.75" customHeight="1" thickBot="1">
      <c r="A14" s="183"/>
      <c r="B14" s="184"/>
      <c r="C14" s="456"/>
      <c r="D14" s="672"/>
      <c r="E14" s="186"/>
      <c r="F14" s="187"/>
      <c r="G14" s="674"/>
      <c r="H14" s="888"/>
      <c r="I14" s="188"/>
      <c r="J14" s="189"/>
      <c r="K14" s="676"/>
      <c r="L14" s="190"/>
      <c r="M14" s="880"/>
      <c r="N14" s="191"/>
      <c r="O14" s="191"/>
      <c r="P14" s="192"/>
      <c r="Q14" s="380"/>
      <c r="R14" s="780"/>
      <c r="S14" s="756"/>
      <c r="T14" s="193"/>
      <c r="U14" s="194"/>
      <c r="V14" s="194"/>
      <c r="W14" s="194"/>
      <c r="X14" s="194"/>
      <c r="Y14" s="194"/>
      <c r="Z14" s="195"/>
      <c r="AA14" s="196"/>
      <c r="AB14" s="197"/>
      <c r="AC14" s="744"/>
      <c r="AD14" s="744"/>
      <c r="AE14" s="197"/>
      <c r="AF14" s="197"/>
      <c r="AG14" s="354"/>
      <c r="AH14" s="690"/>
      <c r="AI14" s="393"/>
      <c r="AJ14" s="198"/>
      <c r="AK14" s="199"/>
      <c r="AM14" s="965"/>
    </row>
    <row r="15" spans="1:41" s="55" customFormat="1" ht="15" customHeight="1">
      <c r="A15" s="200" t="s">
        <v>43</v>
      </c>
      <c r="B15" s="201"/>
      <c r="C15" s="204"/>
      <c r="D15" s="673"/>
      <c r="E15" s="205"/>
      <c r="F15" s="206"/>
      <c r="G15" s="675"/>
      <c r="H15" s="889"/>
      <c r="I15" s="207"/>
      <c r="J15" s="208"/>
      <c r="K15" s="677"/>
      <c r="L15" s="209"/>
      <c r="M15" s="881"/>
      <c r="N15" s="210"/>
      <c r="O15" s="210"/>
      <c r="P15" s="211"/>
      <c r="Q15" s="381"/>
      <c r="R15" s="781"/>
      <c r="S15" s="757"/>
      <c r="T15" s="212"/>
      <c r="U15" s="213"/>
      <c r="V15" s="213"/>
      <c r="W15" s="213"/>
      <c r="X15" s="213"/>
      <c r="Y15" s="213"/>
      <c r="Z15" s="214"/>
      <c r="AA15" s="215"/>
      <c r="AB15" s="216"/>
      <c r="AC15" s="363"/>
      <c r="AD15" s="363"/>
      <c r="AE15" s="216"/>
      <c r="AF15" s="216"/>
      <c r="AG15" s="355"/>
      <c r="AH15" s="691"/>
      <c r="AI15" s="683"/>
      <c r="AJ15" s="217"/>
      <c r="AK15" s="218"/>
      <c r="AM15" s="965"/>
    </row>
    <row r="16" spans="1:41" s="100" customFormat="1" ht="15" customHeight="1">
      <c r="A16" s="22" t="s">
        <v>58</v>
      </c>
      <c r="B16" s="156" t="s">
        <v>5</v>
      </c>
      <c r="C16" s="559">
        <f>'Sheet 1 Gen &amp; Rec'!C15</f>
        <v>171666</v>
      </c>
      <c r="D16" s="868">
        <f>C16/$C$40</f>
        <v>0.22159134848596351</v>
      </c>
      <c r="E16" s="142">
        <f>D16*$E$43</f>
        <v>22125594.062745266</v>
      </c>
      <c r="F16" s="143">
        <f t="shared" ref="F16:F38" si="14">E16/AG16</f>
        <v>176.54110020952302</v>
      </c>
      <c r="G16" s="890">
        <f>+'Sheet 2 Gross &amp; Net Costs'!E15</f>
        <v>76504793.236782908</v>
      </c>
      <c r="H16" s="891">
        <f>G16/$G$40</f>
        <v>0.34479348116339242</v>
      </c>
      <c r="I16" s="892">
        <f>H16*$I$43</f>
        <v>34427159.055739321</v>
      </c>
      <c r="J16" s="144">
        <f t="shared" ref="J16:J38" si="15">I16/AG16</f>
        <v>274.6958350384898</v>
      </c>
      <c r="K16" s="876">
        <f>+IF('Sheet 1 Gen &amp; Rec'!F15&lt;'Sheet 2 Gross &amp; Net Costs'!$S$3,'Sheet 1 Gen &amp; Rec'!C15*'Sheet 2 Gross &amp; Net Costs'!$S$3-'Sheet 1 Gen &amp; Rec'!E15,0)</f>
        <v>0</v>
      </c>
      <c r="L16" s="875">
        <f>K16/$K$40</f>
        <v>0</v>
      </c>
      <c r="M16" s="142">
        <f>L16*$M$43</f>
        <v>0</v>
      </c>
      <c r="N16" s="145">
        <f t="shared" ref="N16:N38" si="16">M16/AG16</f>
        <v>0</v>
      </c>
      <c r="O16" s="885">
        <f>'Sheet 2 Gross &amp; Net Costs'!H15</f>
        <v>14150895.599636547</v>
      </c>
      <c r="P16" s="146">
        <f t="shared" ref="P16:P37" si="17">(M16+E16+I16-O16)/2</f>
        <v>21200928.75942402</v>
      </c>
      <c r="Q16" s="377">
        <f t="shared" ref="Q16:Q38" si="18">P16/AG16</f>
        <v>169.16315458189493</v>
      </c>
      <c r="R16" s="776"/>
      <c r="S16" s="752"/>
      <c r="T16" s="159"/>
      <c r="U16" s="148">
        <f>U$6*'Sheet 1 Gen &amp; Rec'!$O15</f>
        <v>121851.50321530618</v>
      </c>
      <c r="V16" s="148">
        <f>V$6*'Sheet 1 Gen &amp; Rec'!$O15</f>
        <v>11887.951533200603</v>
      </c>
      <c r="W16" s="148">
        <f>W$6*'Sheet 1 Gen &amp; Rec'!$O15</f>
        <v>91537.226805644634</v>
      </c>
      <c r="X16" s="148">
        <f>X$6*'Sheet 1 Gen &amp; Rec'!$O15</f>
        <v>445798.1824950226</v>
      </c>
      <c r="Y16" s="148">
        <f>Y$6*'Sheet 1 Gen &amp; Rec'!$O15</f>
        <v>57062.167359362895</v>
      </c>
      <c r="Z16" s="149">
        <f>SUM(P16,R16:Y16)</f>
        <v>21929065.790832561</v>
      </c>
      <c r="AA16" s="155"/>
      <c r="AB16" s="151">
        <f>Z16-AA16</f>
        <v>21929065.790832561</v>
      </c>
      <c r="AC16" s="364">
        <f>P16</f>
        <v>21200928.75942402</v>
      </c>
      <c r="AD16" s="364">
        <f>SUM(R16:Y16)</f>
        <v>728137.03140853695</v>
      </c>
      <c r="AE16" s="151">
        <f>AB16</f>
        <v>21929065.790832561</v>
      </c>
      <c r="AF16" s="151">
        <f>AB16+AA16</f>
        <v>21929065.790832561</v>
      </c>
      <c r="AG16" s="356">
        <f>Parameters!E13</f>
        <v>125328.28919999991</v>
      </c>
      <c r="AH16" s="688">
        <f t="shared" ref="AH16:AH38" si="19">AE16/AG16</f>
        <v>174.97299237714782</v>
      </c>
      <c r="AI16" s="679">
        <f t="shared" ref="AI16:AI38" si="20">AH16/1000*100</f>
        <v>17.497299237714781</v>
      </c>
      <c r="AJ16" s="219">
        <f t="shared" ref="AJ16:AJ38" si="21">AF16/AG16</f>
        <v>174.97299237714782</v>
      </c>
      <c r="AK16" s="160">
        <f t="shared" si="11"/>
        <v>17.497299237714781</v>
      </c>
      <c r="AM16" s="940">
        <v>6</v>
      </c>
    </row>
    <row r="17" spans="1:39" s="100" customFormat="1" ht="15" customHeight="1">
      <c r="A17" s="22"/>
      <c r="B17" s="156" t="s">
        <v>38</v>
      </c>
      <c r="C17" s="559">
        <f>'Sheet 1 Gen &amp; Rec'!C16</f>
        <v>14198.859999999999</v>
      </c>
      <c r="D17" s="868">
        <f t="shared" ref="D17:D40" si="22">C17/$C$40</f>
        <v>1.8328291766356804E-2</v>
      </c>
      <c r="E17" s="142">
        <f t="shared" ref="E17:E38" si="23">D17*$E$43</f>
        <v>1830054.9468954317</v>
      </c>
      <c r="F17" s="157">
        <f t="shared" si="14"/>
        <v>131.3481628489626</v>
      </c>
      <c r="G17" s="890">
        <f>+'Sheet 2 Gross &amp; Net Costs'!E16</f>
        <v>5167525.0916650733</v>
      </c>
      <c r="H17" s="891">
        <f t="shared" ref="H17:H38" si="24">G17/$G$40</f>
        <v>2.3289115491625663E-2</v>
      </c>
      <c r="I17" s="892">
        <f t="shared" ref="I17:I38" si="25">H17*$I$43</f>
        <v>2325386.433039112</v>
      </c>
      <c r="J17" s="158">
        <f t="shared" si="15"/>
        <v>166.89948922667074</v>
      </c>
      <c r="K17" s="876">
        <f>+IF('Sheet 1 Gen &amp; Rec'!F16&lt;'Sheet 2 Gross &amp; Net Costs'!$S$3,'Sheet 1 Gen &amp; Rec'!C16*'Sheet 2 Gross &amp; Net Costs'!$S$3-'Sheet 1 Gen &amp; Rec'!E16,0)</f>
        <v>3668.9276589170504</v>
      </c>
      <c r="L17" s="875">
        <f t="shared" ref="L17:L38" si="26">K17/$K$40</f>
        <v>2.9386471411046222E-2</v>
      </c>
      <c r="M17" s="142">
        <f t="shared" ref="M17:M38" si="27">L17*$M$43</f>
        <v>652044.24653234903</v>
      </c>
      <c r="N17" s="145">
        <f t="shared" si="16"/>
        <v>46.799039571763089</v>
      </c>
      <c r="O17" s="885">
        <f>'Sheet 2 Gross &amp; Net Costs'!H16</f>
        <v>353374.79558961728</v>
      </c>
      <c r="P17" s="146">
        <f t="shared" si="17"/>
        <v>2227055.4154386376</v>
      </c>
      <c r="Q17" s="378">
        <f t="shared" si="18"/>
        <v>159.84199702688636</v>
      </c>
      <c r="R17" s="776"/>
      <c r="S17" s="752">
        <f>$S$6*P17/SUM($P$17,$P$19)</f>
        <v>0</v>
      </c>
      <c r="T17" s="159"/>
      <c r="U17" s="148">
        <f>U$6*'Sheet 1 Gen &amp; Rec'!$O16</f>
        <v>13448.053007184231</v>
      </c>
      <c r="V17" s="148">
        <f>V$6*'Sheet 1 Gen &amp; Rec'!$O16</f>
        <v>1312.005171432608</v>
      </c>
      <c r="W17" s="148">
        <f>W$6*'Sheet 1 Gen &amp; Rec'!$O16</f>
        <v>10102.439820031081</v>
      </c>
      <c r="X17" s="148">
        <f>X$6*'Sheet 1 Gen &amp; Rec'!$O16</f>
        <v>49200.193928722802</v>
      </c>
      <c r="Y17" s="148">
        <f>Y$6*'Sheet 1 Gen &amp; Rec'!$O16</f>
        <v>6297.624822876518</v>
      </c>
      <c r="Z17" s="149">
        <f>SUM(P17,R17:Y17)</f>
        <v>2307415.7321888846</v>
      </c>
      <c r="AA17" s="155"/>
      <c r="AB17" s="151">
        <f>Z17-AA17</f>
        <v>2307415.7321888846</v>
      </c>
      <c r="AC17" s="364">
        <f t="shared" ref="AC17:AC38" si="28">P17</f>
        <v>2227055.4154386376</v>
      </c>
      <c r="AD17" s="364">
        <f>SUM(R17:Y17)</f>
        <v>80360.316750247235</v>
      </c>
      <c r="AE17" s="151">
        <f>AB17</f>
        <v>2307415.7321888846</v>
      </c>
      <c r="AF17" s="151">
        <f>AB17+AA17</f>
        <v>2307415.7321888846</v>
      </c>
      <c r="AG17" s="356">
        <f>Parameters!E14</f>
        <v>13932.855299999999</v>
      </c>
      <c r="AH17" s="688">
        <f t="shared" si="19"/>
        <v>165.60968175625027</v>
      </c>
      <c r="AI17" s="680">
        <f t="shared" si="20"/>
        <v>16.560968175625028</v>
      </c>
      <c r="AJ17" s="219">
        <f t="shared" si="21"/>
        <v>165.60968175625027</v>
      </c>
      <c r="AK17" s="165">
        <f>AJ17/1000*100</f>
        <v>16.560968175625028</v>
      </c>
      <c r="AM17" s="940">
        <v>7</v>
      </c>
    </row>
    <row r="18" spans="1:39" s="100" customFormat="1" ht="15" customHeight="1">
      <c r="A18" s="27"/>
      <c r="B18" s="161" t="s">
        <v>23</v>
      </c>
      <c r="C18" s="559">
        <f>'Sheet 1 Gen &amp; Rec'!C17</f>
        <v>40429.200000000004</v>
      </c>
      <c r="D18" s="868">
        <f t="shared" si="22"/>
        <v>5.2187159636787231E-2</v>
      </c>
      <c r="E18" s="142">
        <f t="shared" si="23"/>
        <v>5210816.745782746</v>
      </c>
      <c r="F18" s="157">
        <f t="shared" si="14"/>
        <v>206.97715695466871</v>
      </c>
      <c r="G18" s="890">
        <f>+'Sheet 2 Gross &amp; Net Costs'!E17</f>
        <v>337656.70072537923</v>
      </c>
      <c r="H18" s="891">
        <f t="shared" si="24"/>
        <v>1.5217586291740289E-3</v>
      </c>
      <c r="I18" s="892">
        <f t="shared" si="25"/>
        <v>151945.52459125925</v>
      </c>
      <c r="J18" s="158">
        <f t="shared" si="15"/>
        <v>6.0353787565715615</v>
      </c>
      <c r="K18" s="876">
        <f>+IF('Sheet 1 Gen &amp; Rec'!F17&lt;'Sheet 2 Gross &amp; Net Costs'!$S$3,'Sheet 1 Gen &amp; Rec'!C17*'Sheet 2 Gross &amp; Net Costs'!$S$3-'Sheet 1 Gen &amp; Rec'!E17,0)</f>
        <v>23856.623153583558</v>
      </c>
      <c r="L18" s="875">
        <f t="shared" si="26"/>
        <v>0.19108089323129843</v>
      </c>
      <c r="M18" s="142">
        <f t="shared" si="27"/>
        <v>4239814.8219624721</v>
      </c>
      <c r="N18" s="145">
        <f t="shared" si="16"/>
        <v>168.4083053917177</v>
      </c>
      <c r="O18" s="885">
        <f>'Sheet 2 Gross &amp; Net Costs'!H17</f>
        <v>0</v>
      </c>
      <c r="P18" s="146">
        <f t="shared" si="17"/>
        <v>4801288.5461682389</v>
      </c>
      <c r="Q18" s="378">
        <f t="shared" si="18"/>
        <v>190.71042055147902</v>
      </c>
      <c r="R18" s="777"/>
      <c r="S18" s="752"/>
      <c r="T18" s="162"/>
      <c r="U18" s="148">
        <f>U$6*'Sheet 1 Gen &amp; Rec'!$O17</f>
        <v>38291.385691390213</v>
      </c>
      <c r="V18" s="148">
        <f>V$6*'Sheet 1 Gen &amp; Rec'!$O17</f>
        <v>3735.7449455014839</v>
      </c>
      <c r="W18" s="148">
        <f>W$6*'Sheet 1 Gen &amp; Rec'!$O17</f>
        <v>28765.236080361425</v>
      </c>
      <c r="X18" s="148">
        <f>X$6*'Sheet 1 Gen &amp; Rec'!$O17</f>
        <v>140090.43545630565</v>
      </c>
      <c r="Y18" s="148">
        <f>Y$6*'Sheet 1 Gen &amp; Rec'!$O17</f>
        <v>17931.575738407122</v>
      </c>
      <c r="Z18" s="149">
        <f>SUM(P18,R18:Y18)</f>
        <v>5030102.9240802051</v>
      </c>
      <c r="AA18" s="163"/>
      <c r="AB18" s="151">
        <f>Z18-AA18</f>
        <v>5030102.9240802051</v>
      </c>
      <c r="AC18" s="364">
        <f t="shared" si="28"/>
        <v>4801288.5461682389</v>
      </c>
      <c r="AD18" s="364">
        <f>SUM(R18:Y18)</f>
        <v>228814.37791196592</v>
      </c>
      <c r="AE18" s="151">
        <f>AB18</f>
        <v>5030102.9240802051</v>
      </c>
      <c r="AF18" s="151">
        <f>AB18+AA18</f>
        <v>5030102.9240802051</v>
      </c>
      <c r="AG18" s="356">
        <f>Parameters!E15</f>
        <v>25175.805979999994</v>
      </c>
      <c r="AH18" s="688">
        <f t="shared" si="19"/>
        <v>199.7990820264578</v>
      </c>
      <c r="AI18" s="680">
        <f t="shared" si="20"/>
        <v>19.979908202645781</v>
      </c>
      <c r="AJ18" s="220">
        <f t="shared" si="21"/>
        <v>199.7990820264578</v>
      </c>
      <c r="AK18" s="165">
        <f>AJ18/1000*100</f>
        <v>19.979908202645781</v>
      </c>
      <c r="AM18" s="940">
        <v>8</v>
      </c>
    </row>
    <row r="19" spans="1:39" s="100" customFormat="1" ht="15" customHeight="1">
      <c r="A19" s="29"/>
      <c r="B19" s="166" t="s">
        <v>8</v>
      </c>
      <c r="C19" s="559">
        <f>'Sheet 1 Gen &amp; Rec'!C18</f>
        <v>4245.28</v>
      </c>
      <c r="D19" s="868">
        <f t="shared" si="22"/>
        <v>5.4799279991407214E-3</v>
      </c>
      <c r="E19" s="142">
        <f t="shared" si="23"/>
        <v>547163.34022282343</v>
      </c>
      <c r="F19" s="157">
        <f t="shared" si="14"/>
        <v>90.579970698731032</v>
      </c>
      <c r="G19" s="890">
        <f>+'Sheet 2 Gross &amp; Net Costs'!E18</f>
        <v>423349.59726165206</v>
      </c>
      <c r="H19" s="891">
        <f t="shared" si="24"/>
        <v>1.9079612559332404E-3</v>
      </c>
      <c r="I19" s="892">
        <f t="shared" si="25"/>
        <v>190507.33038387803</v>
      </c>
      <c r="J19" s="158">
        <f t="shared" si="15"/>
        <v>31.53747178500273</v>
      </c>
      <c r="K19" s="876">
        <f>+IF('Sheet 1 Gen &amp; Rec'!F18&lt;'Sheet 2 Gross &amp; Net Costs'!$S$3,'Sheet 1 Gen &amp; Rec'!C18*'Sheet 2 Gross &amp; Net Costs'!$S$3-'Sheet 1 Gen &amp; Rec'!E18,0)</f>
        <v>2044.5287273030185</v>
      </c>
      <c r="L19" s="875">
        <f t="shared" si="26"/>
        <v>1.6375761688276785E-2</v>
      </c>
      <c r="M19" s="142">
        <f t="shared" si="27"/>
        <v>363354.99563966179</v>
      </c>
      <c r="N19" s="145">
        <f t="shared" si="16"/>
        <v>60.151480259761087</v>
      </c>
      <c r="O19" s="885">
        <f>'Sheet 2 Gross &amp; Net Costs'!H18</f>
        <v>38335.892256768238</v>
      </c>
      <c r="P19" s="146">
        <f t="shared" si="17"/>
        <v>531344.8869947975</v>
      </c>
      <c r="Q19" s="378">
        <f t="shared" si="18"/>
        <v>87.961310191778324</v>
      </c>
      <c r="R19" s="777"/>
      <c r="S19" s="752">
        <f>$S$6*P19/SUM($P$17,$P$19)</f>
        <v>0</v>
      </c>
      <c r="T19" s="167"/>
      <c r="U19" s="148">
        <f>U$6*'Sheet 1 Gen &amp; Rec'!$O18</f>
        <v>4020.7981817088889</v>
      </c>
      <c r="V19" s="148">
        <f>V$6*'Sheet 1 Gen &amp; Rec'!$O18</f>
        <v>392.27299333745259</v>
      </c>
      <c r="W19" s="148">
        <f>W$6*'Sheet 1 Gen &amp; Rec'!$O18</f>
        <v>3020.5020486983849</v>
      </c>
      <c r="X19" s="148">
        <f>X$6*'Sheet 1 Gen &amp; Rec'!$O18</f>
        <v>14710.237250154472</v>
      </c>
      <c r="Y19" s="148">
        <f>Y$6*'Sheet 1 Gen &amp; Rec'!$O18</f>
        <v>1882.9103680197725</v>
      </c>
      <c r="Z19" s="149">
        <f>SUM(P19,R19:Y19)</f>
        <v>555371.60783671646</v>
      </c>
      <c r="AA19" s="168"/>
      <c r="AB19" s="151">
        <f>Z19-AA19</f>
        <v>555371.60783671646</v>
      </c>
      <c r="AC19" s="364">
        <f t="shared" si="28"/>
        <v>531344.8869947975</v>
      </c>
      <c r="AD19" s="364">
        <f>SUM(R19:Y19)</f>
        <v>24026.72084191897</v>
      </c>
      <c r="AE19" s="151">
        <f>AB19</f>
        <v>555371.60783671646</v>
      </c>
      <c r="AF19" s="151">
        <f>AB19+AA19</f>
        <v>555371.60783671646</v>
      </c>
      <c r="AG19" s="356">
        <f>Parameters!E16</f>
        <v>6040.6658999999972</v>
      </c>
      <c r="AH19" s="688">
        <f t="shared" si="19"/>
        <v>91.938805593720502</v>
      </c>
      <c r="AI19" s="680">
        <f t="shared" si="20"/>
        <v>9.193880559372051</v>
      </c>
      <c r="AJ19" s="169">
        <f t="shared" si="21"/>
        <v>91.938805593720502</v>
      </c>
      <c r="AK19" s="165">
        <f>AJ19/1000*100</f>
        <v>9.193880559372051</v>
      </c>
      <c r="AM19" s="940">
        <v>9</v>
      </c>
    </row>
    <row r="20" spans="1:39" s="100" customFormat="1" ht="15" customHeight="1">
      <c r="A20" s="29"/>
      <c r="B20" s="166" t="s">
        <v>6</v>
      </c>
      <c r="C20" s="559">
        <f>'Sheet 1 Gen &amp; Rec'!C19</f>
        <v>128547.75</v>
      </c>
      <c r="D20" s="868">
        <f t="shared" si="22"/>
        <v>0.16593308673433596</v>
      </c>
      <c r="E20" s="560">
        <f t="shared" si="23"/>
        <v>16568192.502762707</v>
      </c>
      <c r="F20" s="187">
        <f t="shared" si="14"/>
        <v>112.40821441570158</v>
      </c>
      <c r="G20" s="890">
        <f>+'Sheet 2 Gross &amp; Net Costs'!E19</f>
        <v>21836481.179172106</v>
      </c>
      <c r="H20" s="891">
        <f t="shared" si="24"/>
        <v>9.8413132610176493E-2</v>
      </c>
      <c r="I20" s="892">
        <f t="shared" si="25"/>
        <v>9826417.12979066</v>
      </c>
      <c r="J20" s="189">
        <f t="shared" si="15"/>
        <v>66.6681053759755</v>
      </c>
      <c r="K20" s="876">
        <f>+IF('Sheet 1 Gen &amp; Rec'!F19&lt;'Sheet 2 Gross &amp; Net Costs'!$S$3,'Sheet 1 Gen &amp; Rec'!C19*'Sheet 2 Gross &amp; Net Costs'!$S$3-'Sheet 1 Gen &amp; Rec'!E19,0)</f>
        <v>6151.9744013813179</v>
      </c>
      <c r="L20" s="875">
        <f t="shared" si="26"/>
        <v>4.9274566487648372E-2</v>
      </c>
      <c r="M20" s="142">
        <f t="shared" si="27"/>
        <v>1093332.9534273252</v>
      </c>
      <c r="N20" s="145">
        <f t="shared" si="16"/>
        <v>7.4178040263666549</v>
      </c>
      <c r="O20" s="885">
        <f>'Sheet 2 Gross &amp; Net Costs'!H19</f>
        <v>5488253.2028430952</v>
      </c>
      <c r="P20" s="146">
        <f t="shared" si="17"/>
        <v>10999844.691568797</v>
      </c>
      <c r="Q20" s="380">
        <f t="shared" si="18"/>
        <v>74.629317617060707</v>
      </c>
      <c r="R20" s="778"/>
      <c r="S20" s="754"/>
      <c r="T20" s="167"/>
      <c r="U20" s="447">
        <f>U$6*'Sheet 1 Gen &amp; Rec'!$O19</f>
        <v>86796.778370520595</v>
      </c>
      <c r="V20" s="447">
        <f>V$6*'Sheet 1 Gen &amp; Rec'!$O19</f>
        <v>8467.9783776117656</v>
      </c>
      <c r="W20" s="447">
        <f>W$6*'Sheet 1 Gen &amp; Rec'!$O19</f>
        <v>65203.433507610593</v>
      </c>
      <c r="X20" s="447">
        <f>X$6*'Sheet 1 Gen &amp; Rec'!$O19</f>
        <v>317549.18916044116</v>
      </c>
      <c r="Y20" s="447">
        <f>Y$6*'Sheet 1 Gen &amp; Rec'!$O19</f>
        <v>40646.296212536472</v>
      </c>
      <c r="Z20" s="448">
        <f>SUM(P20,R20:Y20)</f>
        <v>11518508.367197519</v>
      </c>
      <c r="AA20" s="168"/>
      <c r="AB20" s="221">
        <f>Z20-AA20</f>
        <v>11518508.367197519</v>
      </c>
      <c r="AC20" s="744">
        <f t="shared" si="28"/>
        <v>10999844.691568797</v>
      </c>
      <c r="AD20" s="744">
        <f>SUM(R20:Y20)</f>
        <v>518663.67562872061</v>
      </c>
      <c r="AE20" s="151">
        <f>AB20</f>
        <v>11518508.367197519</v>
      </c>
      <c r="AF20" s="151">
        <f>AB20+AA20</f>
        <v>11518508.367197519</v>
      </c>
      <c r="AG20" s="356">
        <f>Parameters!E17</f>
        <v>147393.07611000005</v>
      </c>
      <c r="AH20" s="688">
        <f t="shared" si="19"/>
        <v>78.148232408157412</v>
      </c>
      <c r="AI20" s="681">
        <f t="shared" si="20"/>
        <v>7.8148232408157412</v>
      </c>
      <c r="AJ20" s="169">
        <f t="shared" si="21"/>
        <v>78.148232408157412</v>
      </c>
      <c r="AK20" s="170">
        <f t="shared" si="11"/>
        <v>7.8148232408157412</v>
      </c>
      <c r="AM20" s="940">
        <v>10</v>
      </c>
    </row>
    <row r="21" spans="1:39" s="55" customFormat="1" ht="15" customHeight="1" thickBot="1">
      <c r="A21" s="222" t="s">
        <v>58</v>
      </c>
      <c r="B21" s="223"/>
      <c r="C21" s="870">
        <f>'Sheet 1 Gen &amp; Rec'!C20</f>
        <v>359087.08999999997</v>
      </c>
      <c r="D21" s="868">
        <f t="shared" si="22"/>
        <v>0.46351981462258418</v>
      </c>
      <c r="E21" s="173">
        <f t="shared" si="23"/>
        <v>46281821.598408967</v>
      </c>
      <c r="F21" s="126">
        <f t="shared" si="14"/>
        <v>145.59952424637251</v>
      </c>
      <c r="G21" s="890">
        <f>+SUM(G16:G20)</f>
        <v>104269805.80560711</v>
      </c>
      <c r="H21" s="891">
        <f t="shared" si="24"/>
        <v>0.46992544915030177</v>
      </c>
      <c r="I21" s="892">
        <f t="shared" si="25"/>
        <v>46921415.473544225</v>
      </c>
      <c r="J21" s="128">
        <f t="shared" si="15"/>
        <v>147.6116439234811</v>
      </c>
      <c r="K21" s="877">
        <f>+SUM(K16:K20)</f>
        <v>35722.053941184946</v>
      </c>
      <c r="L21" s="875">
        <f t="shared" si="26"/>
        <v>0.28611769281826982</v>
      </c>
      <c r="M21" s="142">
        <f t="shared" si="27"/>
        <v>6348547.0175618092</v>
      </c>
      <c r="N21" s="145">
        <f t="shared" si="16"/>
        <v>19.972105537101481</v>
      </c>
      <c r="O21" s="933">
        <f>+SUM(O16:O20)</f>
        <v>20030859.490326028</v>
      </c>
      <c r="P21" s="233">
        <f>+SUM(P16:P20)</f>
        <v>39760462.299594492</v>
      </c>
      <c r="Q21" s="382">
        <f t="shared" si="18"/>
        <v>125.08376279717999</v>
      </c>
      <c r="R21" s="782"/>
      <c r="S21" s="758">
        <f>SUM(S16:S20)</f>
        <v>0</v>
      </c>
      <c r="T21" s="224"/>
      <c r="U21" s="112">
        <f>SUM(U16:U20)</f>
        <v>264408.51846611011</v>
      </c>
      <c r="V21" s="112">
        <f>SUM(V16:V20)</f>
        <v>25795.953021083915</v>
      </c>
      <c r="W21" s="112">
        <f>SUM(W16:W20)</f>
        <v>198628.83826234611</v>
      </c>
      <c r="X21" s="112">
        <f>SUM(X16:X20)</f>
        <v>967348.2382906467</v>
      </c>
      <c r="Y21" s="112">
        <f>SUM(Y16:Y20)</f>
        <v>123820.57450120278</v>
      </c>
      <c r="Z21" s="225">
        <f t="shared" ref="Z21:AG21" si="29">SUM(Z16:Z20)</f>
        <v>41340464.422135882</v>
      </c>
      <c r="AA21" s="226">
        <f t="shared" si="29"/>
        <v>0</v>
      </c>
      <c r="AB21" s="138">
        <f>SUM(AB16:AB20)</f>
        <v>41340464.422135882</v>
      </c>
      <c r="AC21" s="138">
        <f t="shared" si="28"/>
        <v>39760462.299594492</v>
      </c>
      <c r="AD21" s="138">
        <f>SUM(AD16:AD20)</f>
        <v>1580002.1225413897</v>
      </c>
      <c r="AE21" s="138">
        <f t="shared" si="29"/>
        <v>41340464.422135882</v>
      </c>
      <c r="AF21" s="138">
        <f t="shared" si="29"/>
        <v>41340464.422135882</v>
      </c>
      <c r="AG21" s="357">
        <f t="shared" si="29"/>
        <v>317870.69248999993</v>
      </c>
      <c r="AH21" s="689">
        <f t="shared" si="19"/>
        <v>130.05434410546181</v>
      </c>
      <c r="AI21" s="682">
        <f t="shared" si="20"/>
        <v>13.005434410546183</v>
      </c>
      <c r="AJ21" s="181">
        <f t="shared" si="21"/>
        <v>130.05434410546181</v>
      </c>
      <c r="AK21" s="182">
        <f t="shared" si="11"/>
        <v>13.005434410546183</v>
      </c>
      <c r="AM21" s="965"/>
    </row>
    <row r="22" spans="1:39" s="100" customFormat="1" ht="15" customHeight="1">
      <c r="A22" s="227" t="s">
        <v>53</v>
      </c>
      <c r="B22" s="228" t="s">
        <v>10</v>
      </c>
      <c r="C22" s="559">
        <f>'Sheet 1 Gen &amp; Rec'!C21</f>
        <v>46335.12</v>
      </c>
      <c r="D22" s="868">
        <f t="shared" si="22"/>
        <v>5.9810688913698333E-2</v>
      </c>
      <c r="E22" s="142">
        <f t="shared" si="23"/>
        <v>5972015.751334507</v>
      </c>
      <c r="F22" s="451">
        <f t="shared" si="14"/>
        <v>120.48343384963799</v>
      </c>
      <c r="G22" s="890">
        <f>+'Sheet 2 Gross &amp; Net Costs'!E21</f>
        <v>38686753.996431567</v>
      </c>
      <c r="H22" s="891">
        <f t="shared" si="24"/>
        <v>0.17435431194562284</v>
      </c>
      <c r="I22" s="892">
        <f t="shared" si="25"/>
        <v>17409040.359905884</v>
      </c>
      <c r="J22" s="452">
        <f t="shared" si="15"/>
        <v>351.22160589072303</v>
      </c>
      <c r="K22" s="876">
        <f>+IF('Sheet 1 Gen &amp; Rec'!F21&lt;'Sheet 2 Gross &amp; Net Costs'!$S$3,'Sheet 1 Gen &amp; Rec'!C21*'Sheet 2 Gross &amp; Net Costs'!$S$3-'Sheet 1 Gen &amp; Rec'!E21,0)</f>
        <v>0</v>
      </c>
      <c r="L22" s="875">
        <f t="shared" si="26"/>
        <v>0</v>
      </c>
      <c r="M22" s="142">
        <f t="shared" si="27"/>
        <v>0</v>
      </c>
      <c r="N22" s="145">
        <f t="shared" si="16"/>
        <v>0</v>
      </c>
      <c r="O22" s="885">
        <f>'Sheet 2 Gross &amp; Net Costs'!H21</f>
        <v>7970273.4448821759</v>
      </c>
      <c r="P22" s="146">
        <f t="shared" si="17"/>
        <v>7705391.3331791069</v>
      </c>
      <c r="Q22" s="454">
        <f t="shared" si="18"/>
        <v>155.45371037730513</v>
      </c>
      <c r="R22" s="776"/>
      <c r="S22" s="752"/>
      <c r="T22" s="159"/>
      <c r="U22" s="148">
        <f>U$6*'Sheet 1 Gen &amp; Rec'!$O21</f>
        <v>81898.934872338752</v>
      </c>
      <c r="V22" s="148">
        <f>V$6*'Sheet 1 Gen &amp; Rec'!$O21</f>
        <v>7990.1399875452444</v>
      </c>
      <c r="W22" s="148">
        <f>W$6*'Sheet 1 Gen &amp; Rec'!$O21</f>
        <v>61524.077904098383</v>
      </c>
      <c r="X22" s="148">
        <f>X$6*'Sheet 1 Gen &amp; Rec'!$O21</f>
        <v>299630.24953294668</v>
      </c>
      <c r="Y22" s="148">
        <f>Y$6*'Sheet 1 Gen &amp; Rec'!$O21</f>
        <v>38352.671940217173</v>
      </c>
      <c r="Z22" s="149">
        <f t="shared" ref="Z22:Z27" si="30">SUM(P22,R22:Y22)</f>
        <v>8194787.4074162524</v>
      </c>
      <c r="AA22" s="155"/>
      <c r="AB22" s="151">
        <f t="shared" ref="AB22:AB27" si="31">Z22-AA22</f>
        <v>8194787.4074162524</v>
      </c>
      <c r="AC22" s="364">
        <f t="shared" si="28"/>
        <v>7705391.3331791069</v>
      </c>
      <c r="AD22" s="364">
        <f t="shared" ref="AD22:AD27" si="32">SUM(R22:Y22)</f>
        <v>489396.07423714618</v>
      </c>
      <c r="AE22" s="151">
        <f t="shared" ref="AE22:AE27" si="33">AB22</f>
        <v>8194787.4074162524</v>
      </c>
      <c r="AF22" s="151">
        <f t="shared" ref="AF22:AF27" si="34">AB22+AA22</f>
        <v>8194787.4074162524</v>
      </c>
      <c r="AG22" s="356">
        <f>Parameters!E18</f>
        <v>49567.111100000002</v>
      </c>
      <c r="AH22" s="688">
        <f t="shared" si="19"/>
        <v>165.32711359521318</v>
      </c>
      <c r="AI22" s="679">
        <f t="shared" si="20"/>
        <v>16.532711359521318</v>
      </c>
      <c r="AJ22" s="219">
        <f t="shared" si="21"/>
        <v>165.32711359521318</v>
      </c>
      <c r="AK22" s="160">
        <f t="shared" si="11"/>
        <v>16.532711359521318</v>
      </c>
      <c r="AM22" s="940">
        <v>11</v>
      </c>
    </row>
    <row r="23" spans="1:39" s="100" customFormat="1" ht="15" customHeight="1">
      <c r="A23" s="27"/>
      <c r="B23" s="156" t="s">
        <v>11</v>
      </c>
      <c r="C23" s="559">
        <f>'Sheet 1 Gen &amp; Rec'!C22</f>
        <v>27347.530000000002</v>
      </c>
      <c r="D23" s="868">
        <f t="shared" si="22"/>
        <v>3.5300968453044528E-2</v>
      </c>
      <c r="E23" s="142">
        <f t="shared" si="23"/>
        <v>3524753.5761230998</v>
      </c>
      <c r="F23" s="157">
        <f t="shared" si="14"/>
        <v>128.17952078421865</v>
      </c>
      <c r="G23" s="890">
        <f>+'Sheet 2 Gross &amp; Net Costs'!E22</f>
        <v>18806616.266612038</v>
      </c>
      <c r="H23" s="891">
        <f t="shared" si="24"/>
        <v>8.4758070927660495E-2</v>
      </c>
      <c r="I23" s="892">
        <f t="shared" si="25"/>
        <v>8462977.8360032756</v>
      </c>
      <c r="J23" s="158">
        <f t="shared" si="15"/>
        <v>307.76064765909712</v>
      </c>
      <c r="K23" s="876">
        <f>+IF('Sheet 1 Gen &amp; Rec'!F22&lt;'Sheet 2 Gross &amp; Net Costs'!$S$3,'Sheet 1 Gen &amp; Rec'!C22*'Sheet 2 Gross &amp; Net Costs'!$S$3-'Sheet 1 Gen &amp; Rec'!E22,0)</f>
        <v>938.84076954809098</v>
      </c>
      <c r="L23" s="875">
        <f t="shared" si="26"/>
        <v>7.5196951258485866E-3</v>
      </c>
      <c r="M23" s="142">
        <f t="shared" si="27"/>
        <v>166851.40158215258</v>
      </c>
      <c r="N23" s="145">
        <f t="shared" si="16"/>
        <v>6.0676391228742785</v>
      </c>
      <c r="O23" s="885">
        <f>'Sheet 2 Gross &amp; Net Costs'!H22</f>
        <v>6609787.8406639388</v>
      </c>
      <c r="P23" s="146">
        <f t="shared" si="17"/>
        <v>2772397.486522295</v>
      </c>
      <c r="Q23" s="378">
        <f t="shared" si="18"/>
        <v>100.81969521303898</v>
      </c>
      <c r="R23" s="777"/>
      <c r="S23" s="752"/>
      <c r="T23" s="820"/>
      <c r="U23" s="148">
        <f>U$6*'Sheet 1 Gen &amp; Rec'!$O22</f>
        <v>48337.709676576444</v>
      </c>
      <c r="V23" s="148">
        <f>V$6*'Sheet 1 Gen &amp; Rec'!$O22</f>
        <v>4715.8741147879455</v>
      </c>
      <c r="W23" s="148">
        <f>W$6*'Sheet 1 Gen &amp; Rec'!$O22</f>
        <v>36312.230683867179</v>
      </c>
      <c r="X23" s="148">
        <f>X$6*'Sheet 1 Gen &amp; Rec'!$O22</f>
        <v>176845.27930454796</v>
      </c>
      <c r="Y23" s="148">
        <f>Y$6*'Sheet 1 Gen &amp; Rec'!$O22</f>
        <v>22636.19575098214</v>
      </c>
      <c r="Z23" s="149">
        <f t="shared" si="30"/>
        <v>3061244.7760530571</v>
      </c>
      <c r="AA23" s="163"/>
      <c r="AB23" s="151">
        <f t="shared" si="31"/>
        <v>3061244.7760530571</v>
      </c>
      <c r="AC23" s="364">
        <f t="shared" si="28"/>
        <v>2772397.486522295</v>
      </c>
      <c r="AD23" s="364">
        <f t="shared" si="32"/>
        <v>288847.28953076166</v>
      </c>
      <c r="AE23" s="151">
        <f t="shared" si="33"/>
        <v>3061244.7760530571</v>
      </c>
      <c r="AF23" s="151">
        <f t="shared" si="34"/>
        <v>3061244.7760530571</v>
      </c>
      <c r="AG23" s="356">
        <f>Parameters!E19</f>
        <v>27498.570399999997</v>
      </c>
      <c r="AH23" s="688">
        <f t="shared" si="19"/>
        <v>111.32377907373169</v>
      </c>
      <c r="AI23" s="680">
        <f t="shared" si="20"/>
        <v>11.132377907373169</v>
      </c>
      <c r="AJ23" s="220">
        <f t="shared" si="21"/>
        <v>111.32377907373169</v>
      </c>
      <c r="AK23" s="165">
        <f t="shared" si="11"/>
        <v>11.132377907373169</v>
      </c>
      <c r="AM23" s="940">
        <v>12</v>
      </c>
    </row>
    <row r="24" spans="1:39" s="100" customFormat="1" ht="15" customHeight="1">
      <c r="A24" s="611"/>
      <c r="B24" s="161" t="s">
        <v>12</v>
      </c>
      <c r="C24" s="559">
        <f>'Sheet 1 Gen &amp; Rec'!C23</f>
        <v>48786.68</v>
      </c>
      <c r="D24" s="868">
        <f t="shared" si="22"/>
        <v>6.2975232191308628E-2</v>
      </c>
      <c r="E24" s="142">
        <f t="shared" si="23"/>
        <v>6287991.0835520905</v>
      </c>
      <c r="F24" s="157">
        <f t="shared" si="14"/>
        <v>152.04336252749187</v>
      </c>
      <c r="G24" s="890">
        <f>+'Sheet 2 Gross &amp; Net Costs'!E23</f>
        <v>6382410.7132720165</v>
      </c>
      <c r="H24" s="891">
        <f t="shared" si="24"/>
        <v>2.8764388673434792E-2</v>
      </c>
      <c r="I24" s="892">
        <f t="shared" si="25"/>
        <v>2872084.9960970385</v>
      </c>
      <c r="J24" s="158">
        <f t="shared" si="15"/>
        <v>69.446895593349097</v>
      </c>
      <c r="K24" s="876">
        <f>+IF('Sheet 1 Gen &amp; Rec'!F23&lt;'Sheet 2 Gross &amp; Net Costs'!$S$3,'Sheet 1 Gen &amp; Rec'!C23*'Sheet 2 Gross &amp; Net Costs'!$S$3-'Sheet 1 Gen &amp; Rec'!E23,0)</f>
        <v>26149.380137080163</v>
      </c>
      <c r="L24" s="875">
        <f t="shared" si="26"/>
        <v>0.20944485235277285</v>
      </c>
      <c r="M24" s="142">
        <f t="shared" si="27"/>
        <v>4647285.1072248146</v>
      </c>
      <c r="N24" s="145">
        <f t="shared" si="16"/>
        <v>112.37116034955378</v>
      </c>
      <c r="O24" s="885">
        <f>'Sheet 2 Gross &amp; Net Costs'!H23</f>
        <v>82576.133697142941</v>
      </c>
      <c r="P24" s="146">
        <f t="shared" si="17"/>
        <v>6862392.5265883999</v>
      </c>
      <c r="Q24" s="378">
        <f t="shared" si="18"/>
        <v>165.93236549830223</v>
      </c>
      <c r="R24" s="777"/>
      <c r="S24" s="752"/>
      <c r="T24" s="159">
        <f>$T$6*P24/SUM($P$24:$P$27)</f>
        <v>935982.91486580251</v>
      </c>
      <c r="U24" s="148">
        <f>U$6*'Sheet 1 Gen &amp; Rec'!$O23</f>
        <v>80738.694224182676</v>
      </c>
      <c r="V24" s="148">
        <f>V$6*'Sheet 1 Gen &amp; Rec'!$O23</f>
        <v>7876.945777969041</v>
      </c>
      <c r="W24" s="148">
        <f>W$6*'Sheet 1 Gen &amp; Rec'!$O23</f>
        <v>60652.482490361617</v>
      </c>
      <c r="X24" s="148">
        <f>X$6*'Sheet 1 Gen &amp; Rec'!$O23</f>
        <v>295385.46667383902</v>
      </c>
      <c r="Y24" s="148">
        <f>Y$6*'Sheet 1 Gen &amp; Rec'!$O23</f>
        <v>37809.3397342514</v>
      </c>
      <c r="Z24" s="149">
        <f t="shared" si="30"/>
        <v>8280838.3703548061</v>
      </c>
      <c r="AA24" s="163"/>
      <c r="AB24" s="151">
        <f t="shared" si="31"/>
        <v>8280838.3703548061</v>
      </c>
      <c r="AC24" s="364">
        <f t="shared" si="28"/>
        <v>6862392.5265883999</v>
      </c>
      <c r="AD24" s="364">
        <f t="shared" si="32"/>
        <v>1418445.8437664064</v>
      </c>
      <c r="AE24" s="151">
        <f t="shared" si="33"/>
        <v>8280838.3703548061</v>
      </c>
      <c r="AF24" s="151">
        <f t="shared" si="34"/>
        <v>8280838.3703548061</v>
      </c>
      <c r="AG24" s="356">
        <f>Parameters!E20</f>
        <v>41356.564199999993</v>
      </c>
      <c r="AH24" s="688">
        <f t="shared" si="19"/>
        <v>200.23032692727429</v>
      </c>
      <c r="AI24" s="680">
        <f t="shared" si="20"/>
        <v>20.02303269272743</v>
      </c>
      <c r="AJ24" s="220">
        <f t="shared" si="21"/>
        <v>200.23032692727429</v>
      </c>
      <c r="AK24" s="165">
        <f t="shared" si="11"/>
        <v>20.02303269272743</v>
      </c>
      <c r="AM24" s="940">
        <v>13</v>
      </c>
    </row>
    <row r="25" spans="1:39" s="100" customFormat="1" ht="15" customHeight="1">
      <c r="A25" s="611"/>
      <c r="B25" s="161" t="s">
        <v>22</v>
      </c>
      <c r="C25" s="559">
        <f>'Sheet 1 Gen &amp; Rec'!C24</f>
        <v>33609.68</v>
      </c>
      <c r="D25" s="868">
        <f t="shared" si="22"/>
        <v>4.3384329531658675E-2</v>
      </c>
      <c r="E25" s="142">
        <f t="shared" si="23"/>
        <v>4331866.1602109224</v>
      </c>
      <c r="F25" s="157">
        <f t="shared" si="14"/>
        <v>174.57107032132166</v>
      </c>
      <c r="G25" s="890">
        <f>+'Sheet 2 Gross &amp; Net Costs'!E24</f>
        <v>686955.9586298716</v>
      </c>
      <c r="H25" s="891">
        <f t="shared" si="24"/>
        <v>3.0959881905549594E-3</v>
      </c>
      <c r="I25" s="892">
        <f t="shared" si="25"/>
        <v>309130.2002325753</v>
      </c>
      <c r="J25" s="158">
        <f t="shared" si="15"/>
        <v>12.45772328307981</v>
      </c>
      <c r="K25" s="876">
        <f>+IF('Sheet 1 Gen &amp; Rec'!F24&lt;'Sheet 2 Gross &amp; Net Costs'!$S$3,'Sheet 1 Gen &amp; Rec'!C24*'Sheet 2 Gross &amp; Net Costs'!$S$3-'Sheet 1 Gen &amp; Rec'!E24,0)</f>
        <v>19829.711200000002</v>
      </c>
      <c r="L25" s="875">
        <f t="shared" si="26"/>
        <v>0.15882712755369641</v>
      </c>
      <c r="M25" s="142">
        <f>L25*$M$43</f>
        <v>3524149.3701662575</v>
      </c>
      <c r="N25" s="145">
        <f t="shared" si="16"/>
        <v>142.02066840684196</v>
      </c>
      <c r="O25" s="885">
        <f>'Sheet 2 Gross &amp; Net Costs'!H24</f>
        <v>0</v>
      </c>
      <c r="P25" s="146">
        <f t="shared" si="17"/>
        <v>4082572.8653048775</v>
      </c>
      <c r="Q25" s="378">
        <f t="shared" si="18"/>
        <v>164.5247310056217</v>
      </c>
      <c r="R25" s="777"/>
      <c r="S25" s="752"/>
      <c r="T25" s="159">
        <f>$T$6*P25/SUM($P$24:$P$27)</f>
        <v>556834.72430566256</v>
      </c>
      <c r="U25" s="148">
        <f>U$6*'Sheet 1 Gen &amp; Rec'!$O24</f>
        <v>55621.773740140306</v>
      </c>
      <c r="V25" s="148">
        <f>V$6*'Sheet 1 Gen &amp; Rec'!$O24</f>
        <v>5426.5145112332002</v>
      </c>
      <c r="W25" s="148">
        <f>W$6*'Sheet 1 Gen &amp; Rec'!$O24</f>
        <v>41784.161736495647</v>
      </c>
      <c r="X25" s="148">
        <f>X$6*'Sheet 1 Gen &amp; Rec'!$O24</f>
        <v>203494.29417124501</v>
      </c>
      <c r="Y25" s="148">
        <f>Y$6*'Sheet 1 Gen &amp; Rec'!$O24</f>
        <v>26047.269653919364</v>
      </c>
      <c r="Z25" s="149">
        <f t="shared" si="30"/>
        <v>4971781.603423574</v>
      </c>
      <c r="AA25" s="163"/>
      <c r="AB25" s="151">
        <f t="shared" si="31"/>
        <v>4971781.603423574</v>
      </c>
      <c r="AC25" s="364">
        <f t="shared" si="28"/>
        <v>4082572.8653048775</v>
      </c>
      <c r="AD25" s="364">
        <f t="shared" si="32"/>
        <v>889208.73811869603</v>
      </c>
      <c r="AE25" s="151">
        <f t="shared" si="33"/>
        <v>4971781.603423574</v>
      </c>
      <c r="AF25" s="151">
        <f t="shared" si="34"/>
        <v>4971781.603423574</v>
      </c>
      <c r="AG25" s="356">
        <f>Parameters!E21</f>
        <v>24814.341530000002</v>
      </c>
      <c r="AH25" s="688">
        <f t="shared" si="19"/>
        <v>200.35919943363388</v>
      </c>
      <c r="AI25" s="680">
        <f t="shared" si="20"/>
        <v>20.035919943363385</v>
      </c>
      <c r="AJ25" s="220">
        <f t="shared" si="21"/>
        <v>200.35919943363388</v>
      </c>
      <c r="AK25" s="165">
        <f>AJ25/1000*100</f>
        <v>20.035919943363385</v>
      </c>
      <c r="AM25" s="940">
        <v>14</v>
      </c>
    </row>
    <row r="26" spans="1:39" s="100" customFormat="1" ht="15" customHeight="1">
      <c r="A26" s="611"/>
      <c r="B26" s="161" t="s">
        <v>13</v>
      </c>
      <c r="C26" s="559">
        <f>'Sheet 1 Gen &amp; Rec'!C25</f>
        <v>21195.600000000002</v>
      </c>
      <c r="D26" s="868">
        <f t="shared" si="22"/>
        <v>2.7359882480916947E-2</v>
      </c>
      <c r="E26" s="142">
        <f t="shared" si="23"/>
        <v>2731846.9674619529</v>
      </c>
      <c r="F26" s="157">
        <f t="shared" si="14"/>
        <v>188.48654355803316</v>
      </c>
      <c r="G26" s="890">
        <f>+'Sheet 2 Gross &amp; Net Costs'!E25</f>
        <v>2027306.7737550302</v>
      </c>
      <c r="H26" s="891">
        <f t="shared" si="24"/>
        <v>9.1367106600197708E-3</v>
      </c>
      <c r="I26" s="892">
        <f t="shared" si="25"/>
        <v>912288.10381629202</v>
      </c>
      <c r="J26" s="158">
        <f t="shared" si="15"/>
        <v>62.944240093068039</v>
      </c>
      <c r="K26" s="876">
        <f>+IF('Sheet 1 Gen &amp; Rec'!F25&lt;'Sheet 2 Gross &amp; Net Costs'!$S$3,'Sheet 1 Gen &amp; Rec'!C25*'Sheet 2 Gross &amp; Net Costs'!$S$3-'Sheet 1 Gen &amp; Rec'!E25,0)</f>
        <v>11894.500873397677</v>
      </c>
      <c r="L26" s="875">
        <f t="shared" si="26"/>
        <v>9.5269637986794595E-2</v>
      </c>
      <c r="M26" s="142">
        <f t="shared" si="27"/>
        <v>2113898.5504451734</v>
      </c>
      <c r="N26" s="145">
        <f t="shared" si="16"/>
        <v>145.85056774828163</v>
      </c>
      <c r="O26" s="885">
        <f>'Sheet 2 Gross &amp; Net Costs'!H25</f>
        <v>65362.433067997736</v>
      </c>
      <c r="P26" s="146">
        <f t="shared" si="17"/>
        <v>2846335.5943277101</v>
      </c>
      <c r="Q26" s="378">
        <f t="shared" si="18"/>
        <v>196.3858021225349</v>
      </c>
      <c r="R26" s="777"/>
      <c r="S26" s="752"/>
      <c r="T26" s="159">
        <f>$T$6*P26/SUM($P$24:$P$27)</f>
        <v>388220.50413802103</v>
      </c>
      <c r="U26" s="148">
        <f>U$6*'Sheet 1 Gen &amp; Rec'!$O25</f>
        <v>52314.278775914165</v>
      </c>
      <c r="V26" s="148">
        <f>V$6*'Sheet 1 Gen &amp; Rec'!$O25</f>
        <v>5103.8320756989424</v>
      </c>
      <c r="W26" s="148">
        <f>W$6*'Sheet 1 Gen &amp; Rec'!$O25</f>
        <v>39299.50698288186</v>
      </c>
      <c r="X26" s="148">
        <f>X$6*'Sheet 1 Gen &amp; Rec'!$O25</f>
        <v>191393.70283871036</v>
      </c>
      <c r="Y26" s="148">
        <f>Y$6*'Sheet 1 Gen &amp; Rec'!$O25</f>
        <v>24498.393963354923</v>
      </c>
      <c r="Z26" s="149">
        <f t="shared" si="30"/>
        <v>3547165.8131022919</v>
      </c>
      <c r="AA26" s="163"/>
      <c r="AB26" s="151">
        <f t="shared" si="31"/>
        <v>3547165.8131022919</v>
      </c>
      <c r="AC26" s="364">
        <f t="shared" si="28"/>
        <v>2846335.5943277101</v>
      </c>
      <c r="AD26" s="364">
        <f t="shared" si="32"/>
        <v>700830.21877458121</v>
      </c>
      <c r="AE26" s="151">
        <f t="shared" si="33"/>
        <v>3547165.8131022919</v>
      </c>
      <c r="AF26" s="151">
        <f t="shared" si="34"/>
        <v>3547165.8131022919</v>
      </c>
      <c r="AG26" s="356">
        <f>Parameters!E22</f>
        <v>14493.591509999991</v>
      </c>
      <c r="AH26" s="688">
        <f t="shared" si="19"/>
        <v>244.74029164233662</v>
      </c>
      <c r="AI26" s="680">
        <f t="shared" si="20"/>
        <v>24.474029164233663</v>
      </c>
      <c r="AJ26" s="220">
        <f t="shared" si="21"/>
        <v>244.74029164233662</v>
      </c>
      <c r="AK26" s="165">
        <f t="shared" si="11"/>
        <v>24.474029164233663</v>
      </c>
      <c r="AM26" s="940">
        <v>15</v>
      </c>
    </row>
    <row r="27" spans="1:39" s="100" customFormat="1" ht="15" customHeight="1">
      <c r="A27" s="612"/>
      <c r="B27" s="166" t="s">
        <v>14</v>
      </c>
      <c r="C27" s="559">
        <f>'Sheet 1 Gen &amp; Rec'!C26</f>
        <v>55571.519999999997</v>
      </c>
      <c r="D27" s="868">
        <f t="shared" si="22"/>
        <v>7.17332963674501E-2</v>
      </c>
      <c r="E27" s="142">
        <f t="shared" si="23"/>
        <v>7162471.8521415396</v>
      </c>
      <c r="F27" s="187">
        <f t="shared" si="14"/>
        <v>126.74919493123537</v>
      </c>
      <c r="G27" s="890">
        <f>+'Sheet 2 Gross &amp; Net Costs'!E26</f>
        <v>14083148.942778666</v>
      </c>
      <c r="H27" s="891">
        <f t="shared" si="24"/>
        <v>6.3470244729562711E-2</v>
      </c>
      <c r="I27" s="892">
        <f t="shared" si="25"/>
        <v>6337417.4106727671</v>
      </c>
      <c r="J27" s="189">
        <f t="shared" si="15"/>
        <v>112.14879043549698</v>
      </c>
      <c r="K27" s="876">
        <f>+IF('Sheet 1 Gen &amp; Rec'!F26&lt;'Sheet 2 Gross &amp; Net Costs'!$S$3,'Sheet 1 Gen &amp; Rec'!C26*'Sheet 2 Gross &amp; Net Costs'!$S$3-'Sheet 1 Gen &amp; Rec'!E26,0)</f>
        <v>22689.874718399355</v>
      </c>
      <c r="L27" s="875">
        <f t="shared" si="26"/>
        <v>0.18173575952415311</v>
      </c>
      <c r="M27" s="142">
        <f t="shared" si="27"/>
        <v>4032459.5195313976</v>
      </c>
      <c r="N27" s="145">
        <f t="shared" si="16"/>
        <v>71.359582033202884</v>
      </c>
      <c r="O27" s="885">
        <f>'Sheet 2 Gross &amp; Net Costs'!H26</f>
        <v>1124452.0976259587</v>
      </c>
      <c r="P27" s="146">
        <f t="shared" si="17"/>
        <v>8203948.3423598725</v>
      </c>
      <c r="Q27" s="380">
        <f t="shared" si="18"/>
        <v>145.17946724504742</v>
      </c>
      <c r="R27" s="778"/>
      <c r="S27" s="759"/>
      <c r="T27" s="159">
        <f>$T$6*P27/SUM($P$24:$P$27)</f>
        <v>1118961.8566905139</v>
      </c>
      <c r="U27" s="447">
        <f>U$6*'Sheet 1 Gen &amp; Rec'!$O26</f>
        <v>98224.592862538615</v>
      </c>
      <c r="V27" s="447">
        <f>V$6*'Sheet 1 Gen &amp; Rec'!$O26</f>
        <v>9582.8871085403534</v>
      </c>
      <c r="W27" s="447">
        <f>W$6*'Sheet 1 Gen &amp; Rec'!$O26</f>
        <v>73788.230735760721</v>
      </c>
      <c r="X27" s="447">
        <f>X$6*'Sheet 1 Gen &amp; Rec'!$O26</f>
        <v>359358.26657026325</v>
      </c>
      <c r="Y27" s="447">
        <f>Y$6*'Sheet 1 Gen &amp; Rec'!$O26</f>
        <v>45997.858120993697</v>
      </c>
      <c r="Z27" s="448">
        <f t="shared" si="30"/>
        <v>9909862.0344484802</v>
      </c>
      <c r="AA27" s="168"/>
      <c r="AB27" s="221">
        <f t="shared" si="31"/>
        <v>9909862.0344484802</v>
      </c>
      <c r="AC27" s="744">
        <f t="shared" si="28"/>
        <v>8203948.3423598725</v>
      </c>
      <c r="AD27" s="744">
        <f t="shared" si="32"/>
        <v>1705913.6920886105</v>
      </c>
      <c r="AE27" s="151">
        <f t="shared" si="33"/>
        <v>9909862.0344484802</v>
      </c>
      <c r="AF27" s="151">
        <f t="shared" si="34"/>
        <v>9909862.0344484802</v>
      </c>
      <c r="AG27" s="356">
        <f>Parameters!E23</f>
        <v>56509.012589999969</v>
      </c>
      <c r="AH27" s="688">
        <f t="shared" si="19"/>
        <v>175.36781444668463</v>
      </c>
      <c r="AI27" s="681">
        <f t="shared" si="20"/>
        <v>17.536781444668463</v>
      </c>
      <c r="AJ27" s="169">
        <f t="shared" si="21"/>
        <v>175.36781444668463</v>
      </c>
      <c r="AK27" s="170">
        <f t="shared" si="11"/>
        <v>17.536781444668463</v>
      </c>
      <c r="AM27" s="940">
        <v>16</v>
      </c>
    </row>
    <row r="28" spans="1:39" s="55" customFormat="1" ht="15" customHeight="1" thickBot="1">
      <c r="A28" s="222" t="s">
        <v>62</v>
      </c>
      <c r="B28" s="223"/>
      <c r="C28" s="870">
        <f>'Sheet 1 Gen &amp; Rec'!C27</f>
        <v>232846.13</v>
      </c>
      <c r="D28" s="868">
        <f t="shared" si="22"/>
        <v>0.30056439793807721</v>
      </c>
      <c r="E28" s="173">
        <f t="shared" si="23"/>
        <v>30010945.390824113</v>
      </c>
      <c r="F28" s="126">
        <f t="shared" si="14"/>
        <v>140.08149118056193</v>
      </c>
      <c r="G28" s="890">
        <f>+SUM(G22:G27)</f>
        <v>80673192.651479185</v>
      </c>
      <c r="H28" s="891">
        <f t="shared" si="24"/>
        <v>0.36357971512685555</v>
      </c>
      <c r="I28" s="892">
        <f t="shared" si="25"/>
        <v>36302938.906727828</v>
      </c>
      <c r="J28" s="128">
        <f t="shared" si="15"/>
        <v>169.45050381005765</v>
      </c>
      <c r="K28" s="877">
        <f>+SUM(K22:K27)</f>
        <v>81502.307698425284</v>
      </c>
      <c r="L28" s="875">
        <f t="shared" si="26"/>
        <v>0.65279707254326547</v>
      </c>
      <c r="M28" s="142">
        <f t="shared" si="27"/>
        <v>14484643.948949793</v>
      </c>
      <c r="N28" s="145">
        <f t="shared" si="16"/>
        <v>67.6096836392488</v>
      </c>
      <c r="O28" s="933">
        <f>+SUM(O22:O27)</f>
        <v>15852451.949937213</v>
      </c>
      <c r="P28" s="233">
        <f>+SUM(P22:P27)</f>
        <v>32473038.14828226</v>
      </c>
      <c r="Q28" s="382">
        <f t="shared" si="18"/>
        <v>151.57375243385289</v>
      </c>
      <c r="R28" s="782"/>
      <c r="S28" s="758"/>
      <c r="T28" s="224">
        <f t="shared" ref="T28:AB28" si="35">SUM(T22:T27)</f>
        <v>3000000</v>
      </c>
      <c r="U28" s="112">
        <f t="shared" si="35"/>
        <v>417135.98415169097</v>
      </c>
      <c r="V28" s="112">
        <f t="shared" si="35"/>
        <v>40696.193575774727</v>
      </c>
      <c r="W28" s="112">
        <f t="shared" si="35"/>
        <v>313360.69053346541</v>
      </c>
      <c r="X28" s="112">
        <f t="shared" si="35"/>
        <v>1526107.2590915523</v>
      </c>
      <c r="Y28" s="112">
        <f t="shared" si="35"/>
        <v>195341.7291637187</v>
      </c>
      <c r="Z28" s="225">
        <f t="shared" si="35"/>
        <v>37965680.004798464</v>
      </c>
      <c r="AA28" s="226">
        <f t="shared" si="35"/>
        <v>0</v>
      </c>
      <c r="AB28" s="138">
        <f t="shared" si="35"/>
        <v>37965680.004798464</v>
      </c>
      <c r="AC28" s="138">
        <f t="shared" si="28"/>
        <v>32473038.14828226</v>
      </c>
      <c r="AD28" s="138">
        <f>SUM(AD22:AD27)</f>
        <v>5492641.856516202</v>
      </c>
      <c r="AE28" s="138">
        <f>SUM(AE22:AE27)</f>
        <v>37965680.004798464</v>
      </c>
      <c r="AF28" s="138">
        <f>SUM(AF22:AF27)</f>
        <v>37965680.004798464</v>
      </c>
      <c r="AG28" s="357">
        <f>SUM(AG22:AG27)</f>
        <v>214239.19132999997</v>
      </c>
      <c r="AH28" s="689">
        <f t="shared" si="19"/>
        <v>177.21164726727625</v>
      </c>
      <c r="AI28" s="682">
        <f t="shared" si="20"/>
        <v>17.721164726727626</v>
      </c>
      <c r="AJ28" s="181">
        <f t="shared" si="21"/>
        <v>177.21164726727625</v>
      </c>
      <c r="AK28" s="182">
        <f t="shared" si="11"/>
        <v>17.721164726727626</v>
      </c>
      <c r="AM28" s="965"/>
    </row>
    <row r="29" spans="1:39" s="100" customFormat="1" ht="15" customHeight="1">
      <c r="A29" s="22" t="s">
        <v>54</v>
      </c>
      <c r="B29" s="156" t="s">
        <v>16</v>
      </c>
      <c r="C29" s="559">
        <f>'Sheet 1 Gen &amp; Rec'!C28</f>
        <v>47716.44</v>
      </c>
      <c r="D29" s="868">
        <f t="shared" si="22"/>
        <v>6.1593736002176137E-2</v>
      </c>
      <c r="E29" s="142">
        <f t="shared" si="23"/>
        <v>6150050.5723867314</v>
      </c>
      <c r="F29" s="451">
        <f t="shared" si="14"/>
        <v>138.06549841152525</v>
      </c>
      <c r="G29" s="890">
        <f>+'Sheet 2 Gross &amp; Net Costs'!E28</f>
        <v>9618042.0269214008</v>
      </c>
      <c r="H29" s="891">
        <f t="shared" si="24"/>
        <v>4.334680288820935E-2</v>
      </c>
      <c r="I29" s="892">
        <f t="shared" si="25"/>
        <v>4328119.1760205645</v>
      </c>
      <c r="J29" s="452">
        <f t="shared" si="15"/>
        <v>97.164067870397147</v>
      </c>
      <c r="K29" s="876">
        <f>+IF('Sheet 1 Gen &amp; Rec'!F28&lt;'Sheet 2 Gross &amp; Net Costs'!$S$3,'Sheet 1 Gen &amp; Rec'!C28*'Sheet 2 Gross &amp; Net Costs'!$S$3-'Sheet 1 Gen &amp; Rec'!E28,0)</f>
        <v>0</v>
      </c>
      <c r="L29" s="875">
        <f t="shared" si="26"/>
        <v>0</v>
      </c>
      <c r="M29" s="142">
        <f t="shared" si="27"/>
        <v>0</v>
      </c>
      <c r="N29" s="145">
        <f t="shared" si="16"/>
        <v>0</v>
      </c>
      <c r="O29" s="885">
        <f>'Sheet 2 Gross &amp; Net Costs'!H28</f>
        <v>5522206.7974579409</v>
      </c>
      <c r="P29" s="146">
        <f t="shared" si="17"/>
        <v>2477981.475474678</v>
      </c>
      <c r="Q29" s="454">
        <f t="shared" si="18"/>
        <v>55.629420187542564</v>
      </c>
      <c r="R29" s="776"/>
      <c r="S29" s="752"/>
      <c r="T29" s="159"/>
      <c r="U29" s="148">
        <f>U$6*'Sheet 1 Gen &amp; Rec'!$O28</f>
        <v>46666.492583648665</v>
      </c>
      <c r="V29" s="148">
        <f>V$6*'Sheet 1 Gen &amp; Rec'!$O28</f>
        <v>4552.8285447462113</v>
      </c>
      <c r="W29" s="148">
        <f>W$6*'Sheet 1 Gen &amp; Rec'!$O28</f>
        <v>35056.779794545822</v>
      </c>
      <c r="X29" s="148">
        <f>X$6*'Sheet 1 Gen &amp; Rec'!$O28</f>
        <v>170731.07042798292</v>
      </c>
      <c r="Y29" s="148">
        <f>Y$6*'Sheet 1 Gen &amp; Rec'!$O28</f>
        <v>21853.577014781815</v>
      </c>
      <c r="Z29" s="149">
        <f>SUM(P29,R29:Y29)</f>
        <v>2756842.2238403838</v>
      </c>
      <c r="AA29" s="155"/>
      <c r="AB29" s="151">
        <f>Z29-AA29</f>
        <v>2756842.2238403838</v>
      </c>
      <c r="AC29" s="364">
        <f t="shared" si="28"/>
        <v>2477981.475474678</v>
      </c>
      <c r="AD29" s="364">
        <f>SUM(R29:Y29)</f>
        <v>278860.74836570543</v>
      </c>
      <c r="AE29" s="151">
        <f>AB29</f>
        <v>2756842.2238403838</v>
      </c>
      <c r="AF29" s="151">
        <f>AB29+AA29</f>
        <v>2756842.2238403838</v>
      </c>
      <c r="AG29" s="356">
        <f>Parameters!E24</f>
        <v>44544.44190000002</v>
      </c>
      <c r="AH29" s="688">
        <f t="shared" si="19"/>
        <v>61.889701750655057</v>
      </c>
      <c r="AI29" s="679">
        <f t="shared" si="20"/>
        <v>6.1889701750655055</v>
      </c>
      <c r="AJ29" s="219">
        <f t="shared" si="21"/>
        <v>61.889701750655057</v>
      </c>
      <c r="AK29" s="160">
        <f t="shared" si="11"/>
        <v>6.1889701750655055</v>
      </c>
      <c r="AM29" s="940">
        <v>17</v>
      </c>
    </row>
    <row r="30" spans="1:39" s="100" customFormat="1" ht="15" customHeight="1">
      <c r="A30" s="27"/>
      <c r="B30" s="161" t="s">
        <v>17</v>
      </c>
      <c r="C30" s="559">
        <f>'Sheet 1 Gen &amp; Rec'!C29</f>
        <v>4213.72</v>
      </c>
      <c r="D30" s="868">
        <f t="shared" si="22"/>
        <v>5.4391894547684118E-3</v>
      </c>
      <c r="E30" s="142">
        <f t="shared" si="23"/>
        <v>543095.65210391674</v>
      </c>
      <c r="F30" s="157">
        <f t="shared" si="14"/>
        <v>126.248266682715</v>
      </c>
      <c r="G30" s="890">
        <f>+'Sheet 2 Gross &amp; Net Costs'!E29</f>
        <v>385294.85601142514</v>
      </c>
      <c r="H30" s="891">
        <f t="shared" si="24"/>
        <v>1.7364553129026095E-3</v>
      </c>
      <c r="I30" s="892">
        <f t="shared" si="25"/>
        <v>173382.69577710581</v>
      </c>
      <c r="J30" s="158">
        <f t="shared" si="15"/>
        <v>40.304621717810718</v>
      </c>
      <c r="K30" s="876">
        <f>+IF('Sheet 1 Gen &amp; Rec'!F29&lt;'Sheet 2 Gross &amp; Net Costs'!$S$3,'Sheet 1 Gen &amp; Rec'!C29*'Sheet 2 Gross &amp; Net Costs'!$S$3-'Sheet 1 Gen &amp; Rec'!E29,0)</f>
        <v>1361.1177687090619</v>
      </c>
      <c r="L30" s="875">
        <f t="shared" si="26"/>
        <v>1.0901945231877951E-2</v>
      </c>
      <c r="M30" s="142">
        <f t="shared" si="27"/>
        <v>241898.7487481987</v>
      </c>
      <c r="N30" s="145">
        <f t="shared" si="16"/>
        <v>56.231895107004512</v>
      </c>
      <c r="O30" s="885">
        <f>'Sheet 2 Gross &amp; Net Costs'!H29</f>
        <v>221217.36076182546</v>
      </c>
      <c r="P30" s="146">
        <f t="shared" si="17"/>
        <v>368579.86793369788</v>
      </c>
      <c r="Q30" s="378">
        <f t="shared" si="18"/>
        <v>85.680246712543649</v>
      </c>
      <c r="R30" s="777"/>
      <c r="S30" s="753"/>
      <c r="T30" s="162"/>
      <c r="U30" s="148">
        <f>U$6*'Sheet 1 Gen &amp; Rec'!$O29</f>
        <v>4121.0017580853064</v>
      </c>
      <c r="V30" s="148">
        <f>V$6*'Sheet 1 Gen &amp; Rec'!$O29</f>
        <v>402.0489520083226</v>
      </c>
      <c r="W30" s="148">
        <f>W$6*'Sheet 1 Gen &amp; Rec'!$O29</f>
        <v>3095.7769304640842</v>
      </c>
      <c r="X30" s="148">
        <f>X$6*'Sheet 1 Gen &amp; Rec'!$O29</f>
        <v>15076.835700312098</v>
      </c>
      <c r="Y30" s="148">
        <f>Y$6*'Sheet 1 Gen &amp; Rec'!$O29</f>
        <v>1929.8349696399484</v>
      </c>
      <c r="Z30" s="149">
        <f>SUM(P30,R30:Y30)</f>
        <v>393205.36624420766</v>
      </c>
      <c r="AA30" s="163"/>
      <c r="AB30" s="151">
        <f>Z30-AA30</f>
        <v>393205.36624420766</v>
      </c>
      <c r="AC30" s="364">
        <f t="shared" si="28"/>
        <v>368579.86793369788</v>
      </c>
      <c r="AD30" s="364">
        <f>SUM(R30:Y30)</f>
        <v>24625.49831050976</v>
      </c>
      <c r="AE30" s="151">
        <f>AB30</f>
        <v>393205.36624420766</v>
      </c>
      <c r="AF30" s="151">
        <f>AB30+AA30</f>
        <v>393205.36624420766</v>
      </c>
      <c r="AG30" s="356">
        <f>Parameters!E25</f>
        <v>4301.8067999999994</v>
      </c>
      <c r="AH30" s="688">
        <f t="shared" si="19"/>
        <v>91.404701448751183</v>
      </c>
      <c r="AI30" s="680">
        <f t="shared" si="20"/>
        <v>9.1404701448751187</v>
      </c>
      <c r="AJ30" s="220">
        <f t="shared" si="21"/>
        <v>91.404701448751183</v>
      </c>
      <c r="AK30" s="165">
        <f t="shared" si="11"/>
        <v>9.1404701448751187</v>
      </c>
      <c r="AM30" s="940">
        <v>18</v>
      </c>
    </row>
    <row r="31" spans="1:39" s="100" customFormat="1" ht="15" customHeight="1">
      <c r="A31" s="29"/>
      <c r="B31" s="166" t="s">
        <v>18</v>
      </c>
      <c r="C31" s="559">
        <f>'Sheet 1 Gen &amp; Rec'!C30</f>
        <v>5166.72</v>
      </c>
      <c r="D31" s="868">
        <f t="shared" si="22"/>
        <v>6.6693489220311384E-3</v>
      </c>
      <c r="E31" s="142">
        <f t="shared" si="23"/>
        <v>665925.39789980091</v>
      </c>
      <c r="F31" s="187">
        <f t="shared" si="14"/>
        <v>124.83280613366676</v>
      </c>
      <c r="G31" s="890">
        <f>+'Sheet 2 Gross &amp; Net Costs'!E30</f>
        <v>308725.34525795182</v>
      </c>
      <c r="H31" s="891">
        <f t="shared" si="24"/>
        <v>1.3913701614146809E-3</v>
      </c>
      <c r="I31" s="892">
        <f t="shared" si="25"/>
        <v>138926.41383708004</v>
      </c>
      <c r="J31" s="189">
        <f t="shared" si="15"/>
        <v>26.04281821967577</v>
      </c>
      <c r="K31" s="876">
        <f>+IF('Sheet 1 Gen &amp; Rec'!F30&lt;'Sheet 2 Gross &amp; Net Costs'!$S$3,'Sheet 1 Gen &amp; Rec'!C30*'Sheet 2 Gross &amp; Net Costs'!$S$3-'Sheet 1 Gen &amp; Rec'!E30,0)</f>
        <v>2164.8579679852064</v>
      </c>
      <c r="L31" s="875">
        <f t="shared" si="26"/>
        <v>1.7339545147627887E-2</v>
      </c>
      <c r="M31" s="142">
        <f t="shared" si="27"/>
        <v>384739.98776010762</v>
      </c>
      <c r="N31" s="145">
        <f t="shared" si="16"/>
        <v>72.122451637072771</v>
      </c>
      <c r="O31" s="885">
        <f>'Sheet 2 Gross &amp; Net Costs'!H30</f>
        <v>177254.91273162048</v>
      </c>
      <c r="P31" s="146">
        <f t="shared" si="17"/>
        <v>506168.44338268402</v>
      </c>
      <c r="Q31" s="380">
        <f t="shared" si="18"/>
        <v>94.885143836003508</v>
      </c>
      <c r="R31" s="778"/>
      <c r="S31" s="754"/>
      <c r="T31" s="167"/>
      <c r="U31" s="447">
        <f>U$6*'Sheet 1 Gen &amp; Rec'!$O30</f>
        <v>5053.0320485306365</v>
      </c>
      <c r="V31" s="447">
        <f>V$6*'Sheet 1 Gen &amp; Rec'!$O30</f>
        <v>492.97873644201337</v>
      </c>
      <c r="W31" s="447">
        <f>W$6*'Sheet 1 Gen &amp; Rec'!$O30</f>
        <v>3795.9362706035026</v>
      </c>
      <c r="X31" s="447">
        <f>X$6*'Sheet 1 Gen &amp; Rec'!$O30</f>
        <v>18486.702616575501</v>
      </c>
      <c r="Y31" s="447">
        <f>Y$6*'Sheet 1 Gen &amp; Rec'!$O30</f>
        <v>2366.2979349216639</v>
      </c>
      <c r="Z31" s="448">
        <f>SUM(P31,R31:Y31)</f>
        <v>536363.39098975738</v>
      </c>
      <c r="AA31" s="168"/>
      <c r="AB31" s="221">
        <f>Z31-AA31</f>
        <v>536363.39098975738</v>
      </c>
      <c r="AC31" s="744">
        <f t="shared" si="28"/>
        <v>506168.44338268402</v>
      </c>
      <c r="AD31" s="744">
        <f>SUM(R31:Y31)</f>
        <v>30194.947607073314</v>
      </c>
      <c r="AE31" s="151">
        <f>AB31</f>
        <v>536363.39098975738</v>
      </c>
      <c r="AF31" s="151">
        <f>AB31+AA31</f>
        <v>536363.39098975738</v>
      </c>
      <c r="AG31" s="356">
        <f>Parameters!E26</f>
        <v>5334.5384000000004</v>
      </c>
      <c r="AH31" s="688">
        <f t="shared" si="19"/>
        <v>100.54541757347877</v>
      </c>
      <c r="AI31" s="681">
        <f t="shared" si="20"/>
        <v>10.054541757347877</v>
      </c>
      <c r="AJ31" s="169">
        <f t="shared" si="21"/>
        <v>100.54541757347877</v>
      </c>
      <c r="AK31" s="170">
        <f t="shared" si="11"/>
        <v>10.054541757347877</v>
      </c>
      <c r="AM31" s="940">
        <v>19</v>
      </c>
    </row>
    <row r="32" spans="1:39" s="55" customFormat="1" ht="15" customHeight="1" thickBot="1">
      <c r="A32" s="222" t="s">
        <v>54</v>
      </c>
      <c r="B32" s="223"/>
      <c r="C32" s="870">
        <f>'Sheet 1 Gen &amp; Rec'!C31</f>
        <v>57096.880000000005</v>
      </c>
      <c r="D32" s="868">
        <f t="shared" si="22"/>
        <v>7.3702274378975696E-2</v>
      </c>
      <c r="E32" s="173">
        <f t="shared" si="23"/>
        <v>7359071.62239045</v>
      </c>
      <c r="F32" s="126">
        <f t="shared" si="14"/>
        <v>135.82437643085564</v>
      </c>
      <c r="G32" s="890">
        <f>+SUM(G29:G31)</f>
        <v>10312062.228190778</v>
      </c>
      <c r="H32" s="891">
        <f t="shared" si="24"/>
        <v>4.6474628362526638E-2</v>
      </c>
      <c r="I32" s="892">
        <f t="shared" si="25"/>
        <v>4640428.2856347496</v>
      </c>
      <c r="J32" s="128">
        <f t="shared" si="15"/>
        <v>85.647118360795247</v>
      </c>
      <c r="K32" s="877">
        <f>+SUM(K29:K31)</f>
        <v>3525.9757366942686</v>
      </c>
      <c r="L32" s="875">
        <f t="shared" si="26"/>
        <v>2.8241490379505841E-2</v>
      </c>
      <c r="M32" s="142">
        <f t="shared" si="27"/>
        <v>626638.73650830635</v>
      </c>
      <c r="N32" s="145">
        <f t="shared" si="16"/>
        <v>11.565700131888748</v>
      </c>
      <c r="O32" s="933">
        <f>+SUM(O29:O31)</f>
        <v>5920679.0709513864</v>
      </c>
      <c r="P32" s="233">
        <f>+SUM(P29:P31)</f>
        <v>3352729.7867910601</v>
      </c>
      <c r="Q32" s="382">
        <f t="shared" si="18"/>
        <v>61.880418617821427</v>
      </c>
      <c r="R32" s="782"/>
      <c r="S32" s="758"/>
      <c r="T32" s="224"/>
      <c r="U32" s="112">
        <f>SUM(U29:U31)</f>
        <v>55840.526390264611</v>
      </c>
      <c r="V32" s="112">
        <f>SUM(V29:V31)</f>
        <v>5447.8562331965477</v>
      </c>
      <c r="W32" s="112">
        <f>SUM(W29:W31)</f>
        <v>41948.492995613407</v>
      </c>
      <c r="X32" s="112">
        <f>SUM(X29:X31)</f>
        <v>204294.60874487052</v>
      </c>
      <c r="Y32" s="112">
        <f>SUM(Y29:Y31)</f>
        <v>26149.709919343426</v>
      </c>
      <c r="Z32" s="225">
        <f t="shared" ref="Z32:AG32" si="36">SUM(Z29:Z31)</f>
        <v>3686410.981074349</v>
      </c>
      <c r="AA32" s="226">
        <f t="shared" si="36"/>
        <v>0</v>
      </c>
      <c r="AB32" s="138">
        <f>SUM(AB29:AB31)</f>
        <v>3686410.981074349</v>
      </c>
      <c r="AC32" s="138">
        <f t="shared" si="28"/>
        <v>3352729.7867910601</v>
      </c>
      <c r="AD32" s="138">
        <f>SUM(AD29:AD31)</f>
        <v>333681.1942832885</v>
      </c>
      <c r="AE32" s="138">
        <f t="shared" si="36"/>
        <v>3686410.981074349</v>
      </c>
      <c r="AF32" s="138">
        <f t="shared" si="36"/>
        <v>3686410.981074349</v>
      </c>
      <c r="AG32" s="357">
        <f t="shared" si="36"/>
        <v>54180.787100000016</v>
      </c>
      <c r="AH32" s="689">
        <f t="shared" si="19"/>
        <v>68.039081349453994</v>
      </c>
      <c r="AI32" s="682">
        <f t="shared" si="20"/>
        <v>6.8039081349453996</v>
      </c>
      <c r="AJ32" s="181">
        <f t="shared" si="21"/>
        <v>68.039081349453994</v>
      </c>
      <c r="AK32" s="182">
        <f t="shared" si="11"/>
        <v>6.8039081349453996</v>
      </c>
      <c r="AM32" s="965"/>
    </row>
    <row r="33" spans="1:39" s="100" customFormat="1" ht="15" customHeight="1">
      <c r="A33" s="22" t="s">
        <v>55</v>
      </c>
      <c r="B33" s="26" t="s">
        <v>94</v>
      </c>
      <c r="C33" s="559">
        <f>'Sheet 1 Gen &amp; Rec'!C32</f>
        <v>21172.649999999998</v>
      </c>
      <c r="D33" s="868">
        <f t="shared" si="22"/>
        <v>2.7330257969087265E-2</v>
      </c>
      <c r="E33" s="142">
        <f t="shared" si="23"/>
        <v>2728889.0003412641</v>
      </c>
      <c r="F33" s="451">
        <f t="shared" si="14"/>
        <v>111.87701219098506</v>
      </c>
      <c r="G33" s="890">
        <f>+'Sheet 2 Gross &amp; Net Costs'!E32</f>
        <v>12038738.843327487</v>
      </c>
      <c r="H33" s="891">
        <f t="shared" si="24"/>
        <v>5.4256452425939322E-2</v>
      </c>
      <c r="I33" s="892">
        <f t="shared" si="25"/>
        <v>5417432.8098239163</v>
      </c>
      <c r="J33" s="452">
        <f t="shared" si="15"/>
        <v>222.09998150628991</v>
      </c>
      <c r="K33" s="876">
        <f>+IF('Sheet 1 Gen &amp; Rec'!F32&lt;'Sheet 2 Gross &amp; Net Costs'!$S$3,'Sheet 1 Gen &amp; Rec'!C32*'Sheet 2 Gross &amp; Net Costs'!$S$3-'Sheet 1 Gen &amp; Rec'!E32,0)</f>
        <v>2196.9713725058482</v>
      </c>
      <c r="L33" s="875">
        <f t="shared" si="26"/>
        <v>1.7596759170794469E-2</v>
      </c>
      <c r="M33" s="142">
        <f t="shared" si="27"/>
        <v>390447.20321946911</v>
      </c>
      <c r="N33" s="145">
        <f t="shared" si="16"/>
        <v>16.007271277453153</v>
      </c>
      <c r="O33" s="885">
        <f>'Sheet 2 Gross &amp; Net Costs'!H32</f>
        <v>15117525.275054436</v>
      </c>
      <c r="P33" s="146">
        <f t="shared" si="17"/>
        <v>-3290378.1308348933</v>
      </c>
      <c r="Q33" s="454">
        <f t="shared" si="18"/>
        <v>-134.89653635978988</v>
      </c>
      <c r="R33" s="776"/>
      <c r="S33" s="752"/>
      <c r="T33" s="159"/>
      <c r="U33" s="148">
        <f>U$6*'Sheet 1 Gen &amp; Rec'!$O32</f>
        <v>45127.028237878745</v>
      </c>
      <c r="V33" s="148">
        <f>V$6*'Sheet 1 Gen &amp; Rec'!$O32</f>
        <v>4402.6369012564628</v>
      </c>
      <c r="W33" s="148">
        <f>W$6*'Sheet 1 Gen &amp; Rec'!$O32</f>
        <v>33900.304139674765</v>
      </c>
      <c r="X33" s="148">
        <f>X$6*'Sheet 1 Gen &amp; Rec'!$O32</f>
        <v>165098.88379711736</v>
      </c>
      <c r="Y33" s="148">
        <f>Y$6*'Sheet 1 Gen &amp; Rec'!$O32</f>
        <v>21132.657126031023</v>
      </c>
      <c r="Z33" s="149">
        <f>SUM(P33,R33:Y33)</f>
        <v>-3020716.6206329348</v>
      </c>
      <c r="AA33" s="155"/>
      <c r="AB33" s="151">
        <f>Z33-AA33</f>
        <v>-3020716.6206329348</v>
      </c>
      <c r="AC33" s="364">
        <f t="shared" si="28"/>
        <v>-3290378.1308348933</v>
      </c>
      <c r="AD33" s="364">
        <f>SUM(R33:Y33)</f>
        <v>269661.51020195836</v>
      </c>
      <c r="AE33" s="151">
        <f>AB33</f>
        <v>-3020716.6206329348</v>
      </c>
      <c r="AF33" s="151">
        <f>AB33+AA33</f>
        <v>-3020716.6206329348</v>
      </c>
      <c r="AG33" s="356">
        <f>Parameters!E27</f>
        <v>24391.8652</v>
      </c>
      <c r="AH33" s="688">
        <f t="shared" si="19"/>
        <v>-123.84114932846279</v>
      </c>
      <c r="AI33" s="679">
        <f t="shared" si="20"/>
        <v>-12.384114932846281</v>
      </c>
      <c r="AJ33" s="219">
        <f t="shared" si="21"/>
        <v>-123.84114932846279</v>
      </c>
      <c r="AK33" s="160">
        <f t="shared" si="11"/>
        <v>-12.384114932846281</v>
      </c>
      <c r="AM33" s="940">
        <v>20</v>
      </c>
    </row>
    <row r="34" spans="1:39" s="100" customFormat="1" ht="15" customHeight="1">
      <c r="A34" s="29"/>
      <c r="B34" s="30" t="s">
        <v>95</v>
      </c>
      <c r="C34" s="559">
        <f>'Sheet 1 Gen &amp; Rec'!C33</f>
        <v>3733.6</v>
      </c>
      <c r="D34" s="868">
        <f t="shared" si="22"/>
        <v>4.8194369223212132E-3</v>
      </c>
      <c r="E34" s="142">
        <f t="shared" si="23"/>
        <v>481214.20661438914</v>
      </c>
      <c r="F34" s="187">
        <f t="shared" si="14"/>
        <v>138.12296846956664</v>
      </c>
      <c r="G34" s="890">
        <f>+'Sheet 2 Gross &amp; Net Costs'!E33</f>
        <v>385638.68872966786</v>
      </c>
      <c r="H34" s="891">
        <f t="shared" si="24"/>
        <v>1.7380049057430719E-3</v>
      </c>
      <c r="I34" s="892">
        <f t="shared" si="25"/>
        <v>173537.42050974932</v>
      </c>
      <c r="J34" s="189">
        <f t="shared" si="15"/>
        <v>49.810465551291358</v>
      </c>
      <c r="K34" s="876">
        <f>+IF('Sheet 1 Gen &amp; Rec'!F33&lt;'Sheet 2 Gross &amp; Net Costs'!$S$3,'Sheet 1 Gen &amp; Rec'!C33*'Sheet 2 Gross &amp; Net Costs'!$S$3-'Sheet 1 Gen &amp; Rec'!E33,0)</f>
        <v>1903.5999430688498</v>
      </c>
      <c r="L34" s="875">
        <f t="shared" si="26"/>
        <v>1.524698508816434E-2</v>
      </c>
      <c r="M34" s="142">
        <f t="shared" si="27"/>
        <v>338309.03903505212</v>
      </c>
      <c r="N34" s="145">
        <f t="shared" si="16"/>
        <v>97.104881961750948</v>
      </c>
      <c r="O34" s="885">
        <f>'Sheet 2 Gross &amp; Net Costs'!H33</f>
        <v>484261.90648207703</v>
      </c>
      <c r="P34" s="146">
        <f t="shared" si="17"/>
        <v>254399.37983855678</v>
      </c>
      <c r="Q34" s="380">
        <f t="shared" si="18"/>
        <v>73.020282936650077</v>
      </c>
      <c r="R34" s="778"/>
      <c r="S34" s="754"/>
      <c r="T34" s="167"/>
      <c r="U34" s="447">
        <f>U$6*'Sheet 1 Gen &amp; Rec'!$O33</f>
        <v>7957.7319149442365</v>
      </c>
      <c r="V34" s="447">
        <f>V$6*'Sheet 1 Gen &amp; Rec'!$O33</f>
        <v>776.36408926285242</v>
      </c>
      <c r="W34" s="447">
        <f>W$6*'Sheet 1 Gen &amp; Rec'!$O33</f>
        <v>5978.0034873239629</v>
      </c>
      <c r="X34" s="447">
        <f>X$6*'Sheet 1 Gen &amp; Rec'!$O33</f>
        <v>29113.653347356965</v>
      </c>
      <c r="Y34" s="447">
        <f>Y$6*'Sheet 1 Gen &amp; Rec'!$O33</f>
        <v>3726.5476284616911</v>
      </c>
      <c r="Z34" s="448">
        <f>SUM(P34,R34:Y34)</f>
        <v>301951.6803059064</v>
      </c>
      <c r="AA34" s="168"/>
      <c r="AB34" s="221">
        <f>Z34-AA34</f>
        <v>301951.6803059064</v>
      </c>
      <c r="AC34" s="744">
        <f t="shared" si="28"/>
        <v>254399.37983855678</v>
      </c>
      <c r="AD34" s="744">
        <f>SUM(R34:Y34)</f>
        <v>47552.300467349705</v>
      </c>
      <c r="AE34" s="151">
        <f>AB34</f>
        <v>301951.6803059064</v>
      </c>
      <c r="AF34" s="151">
        <f>AB34+AA34</f>
        <v>301951.6803059064</v>
      </c>
      <c r="AG34" s="356">
        <f>Parameters!E28</f>
        <v>3483.9550000000008</v>
      </c>
      <c r="AH34" s="688">
        <f t="shared" si="19"/>
        <v>86.669225149551679</v>
      </c>
      <c r="AI34" s="681">
        <f t="shared" si="20"/>
        <v>8.6669225149551679</v>
      </c>
      <c r="AJ34" s="169">
        <f t="shared" si="21"/>
        <v>86.669225149551679</v>
      </c>
      <c r="AK34" s="170">
        <f t="shared" si="11"/>
        <v>8.6669225149551679</v>
      </c>
      <c r="AM34" s="940">
        <v>21</v>
      </c>
    </row>
    <row r="35" spans="1:39" s="55" customFormat="1" ht="15" customHeight="1" thickBot="1">
      <c r="A35" s="222" t="s">
        <v>55</v>
      </c>
      <c r="B35" s="223"/>
      <c r="C35" s="870">
        <f>'Sheet 1 Gen &amp; Rec'!C34</f>
        <v>24906.249999999996</v>
      </c>
      <c r="D35" s="868">
        <f t="shared" si="22"/>
        <v>3.2149694891408474E-2</v>
      </c>
      <c r="E35" s="173">
        <f t="shared" si="23"/>
        <v>3210103.2069556527</v>
      </c>
      <c r="F35" s="126">
        <f t="shared" si="14"/>
        <v>115.15726475218305</v>
      </c>
      <c r="G35" s="890">
        <f>+SUM(G33:G34)</f>
        <v>12424377.532057155</v>
      </c>
      <c r="H35" s="891">
        <f t="shared" si="24"/>
        <v>5.5994457331682394E-2</v>
      </c>
      <c r="I35" s="892">
        <f t="shared" si="25"/>
        <v>5590970.2303336663</v>
      </c>
      <c r="J35" s="128">
        <f t="shared" si="15"/>
        <v>200.56702153408443</v>
      </c>
      <c r="K35" s="877">
        <f>+SUM(K33:K34)</f>
        <v>4100.571315574698</v>
      </c>
      <c r="L35" s="875">
        <f t="shared" si="26"/>
        <v>3.2843744258958807E-2</v>
      </c>
      <c r="M35" s="142">
        <f t="shared" si="27"/>
        <v>728756.24225452112</v>
      </c>
      <c r="N35" s="145">
        <f t="shared" si="16"/>
        <v>26.142952459369109</v>
      </c>
      <c r="O35" s="933">
        <f>+SUM(O33:O34)</f>
        <v>15601787.181536512</v>
      </c>
      <c r="P35" s="233">
        <f>+SUM(P33:P34)</f>
        <v>-3035978.7509963363</v>
      </c>
      <c r="Q35" s="382">
        <f t="shared" si="18"/>
        <v>-108.91083129443976</v>
      </c>
      <c r="R35" s="782"/>
      <c r="S35" s="758"/>
      <c r="T35" s="224"/>
      <c r="U35" s="112">
        <f>SUM(U33:U34)</f>
        <v>53084.760152822979</v>
      </c>
      <c r="V35" s="112">
        <f>SUM(V33:V34)</f>
        <v>5179.0009905193156</v>
      </c>
      <c r="W35" s="112">
        <f>SUM(W33:W34)</f>
        <v>39878.307626998729</v>
      </c>
      <c r="X35" s="112">
        <f>SUM(X33:X34)</f>
        <v>194212.53714447434</v>
      </c>
      <c r="Y35" s="112">
        <f>SUM(Y33:Y34)</f>
        <v>24859.204754492715</v>
      </c>
      <c r="Z35" s="225">
        <f t="shared" ref="Z35:AG35" si="37">SUM(Z33:Z34)</f>
        <v>-2718764.9403270283</v>
      </c>
      <c r="AA35" s="226">
        <f t="shared" si="37"/>
        <v>0</v>
      </c>
      <c r="AB35" s="138">
        <f>SUM(AB33:AB34)</f>
        <v>-2718764.9403270283</v>
      </c>
      <c r="AC35" s="138">
        <f t="shared" si="28"/>
        <v>-3035978.7509963363</v>
      </c>
      <c r="AD35" s="138">
        <f>SUM(AD33:AD34)</f>
        <v>317213.81066930806</v>
      </c>
      <c r="AE35" s="138">
        <f t="shared" si="37"/>
        <v>-2718764.9403270283</v>
      </c>
      <c r="AF35" s="138">
        <f t="shared" si="37"/>
        <v>-2718764.9403270283</v>
      </c>
      <c r="AG35" s="357">
        <f t="shared" si="37"/>
        <v>27875.820200000002</v>
      </c>
      <c r="AH35" s="689">
        <f t="shared" si="19"/>
        <v>-97.531298480933245</v>
      </c>
      <c r="AI35" s="682">
        <f t="shared" si="20"/>
        <v>-9.7531298480933248</v>
      </c>
      <c r="AJ35" s="181">
        <f t="shared" si="21"/>
        <v>-97.531298480933245</v>
      </c>
      <c r="AK35" s="182">
        <f t="shared" si="11"/>
        <v>-9.7531298480933248</v>
      </c>
      <c r="AM35" s="965"/>
    </row>
    <row r="36" spans="1:39" s="100" customFormat="1" ht="15" customHeight="1">
      <c r="A36" s="22" t="s">
        <v>56</v>
      </c>
      <c r="B36" s="156" t="s">
        <v>97</v>
      </c>
      <c r="C36" s="559">
        <f>'Sheet 1 Gen &amp; Rec'!C35</f>
        <v>76291.199999999997</v>
      </c>
      <c r="D36" s="868">
        <f t="shared" si="22"/>
        <v>9.8478847795208949E-2</v>
      </c>
      <c r="E36" s="142">
        <f t="shared" si="23"/>
        <v>9832978.7014301699</v>
      </c>
      <c r="F36" s="451">
        <f t="shared" si="14"/>
        <v>116.41847979721466</v>
      </c>
      <c r="G36" s="890">
        <f>+'Sheet 2 Gross &amp; Net Costs'!E35</f>
        <v>11837534.629683379</v>
      </c>
      <c r="H36" s="891">
        <f t="shared" si="24"/>
        <v>5.3349660860182363E-2</v>
      </c>
      <c r="I36" s="892">
        <f t="shared" si="25"/>
        <v>5326890.9081632998</v>
      </c>
      <c r="J36" s="452">
        <f t="shared" si="15"/>
        <v>63.06822788945707</v>
      </c>
      <c r="K36" s="876">
        <f>+IF('Sheet 1 Gen &amp; Rec'!F35&lt;'Sheet 2 Gross &amp; Net Costs'!$S$3,'Sheet 1 Gen &amp; Rec'!C35*'Sheet 2 Gross &amp; Net Costs'!$S$3-'Sheet 1 Gen &amp; Rec'!E35,0)</f>
        <v>0</v>
      </c>
      <c r="L36" s="875">
        <f t="shared" si="26"/>
        <v>0</v>
      </c>
      <c r="M36" s="142">
        <f t="shared" si="27"/>
        <v>0</v>
      </c>
      <c r="N36" s="145">
        <f t="shared" si="16"/>
        <v>0</v>
      </c>
      <c r="O36" s="885">
        <f>'Sheet 2 Gross &amp; Net Costs'!H35</f>
        <v>2427492.6576279746</v>
      </c>
      <c r="P36" s="146">
        <f t="shared" si="17"/>
        <v>6366188.475982748</v>
      </c>
      <c r="Q36" s="454">
        <f t="shared" si="18"/>
        <v>75.3730895774911</v>
      </c>
      <c r="R36" s="776">
        <v>0</v>
      </c>
      <c r="S36" s="752"/>
      <c r="T36" s="159"/>
      <c r="U36" s="148">
        <f>U$6*('Sheet 1 Gen &amp; Rec'!$O35)</f>
        <v>36569.537452079698</v>
      </c>
      <c r="V36" s="148">
        <f>V$6*('Sheet 1 Gen &amp; Rec'!$O35)</f>
        <v>3567.7597514224094</v>
      </c>
      <c r="W36" s="148">
        <f>W$6*('Sheet 1 Gen &amp; Rec'!$O35)</f>
        <v>27471.75008595255</v>
      </c>
      <c r="X36" s="148">
        <f>X$6*('Sheet 1 Gen &amp; Rec'!$O35)</f>
        <v>133790.99067834034</v>
      </c>
      <c r="Y36" s="148">
        <f>Y$6*('Sheet 1 Gen &amp; Rec'!$O35)</f>
        <v>17125.246806827563</v>
      </c>
      <c r="Z36" s="149">
        <f>SUM(P36,R36:Y36)</f>
        <v>6584713.7607573699</v>
      </c>
      <c r="AA36" s="155"/>
      <c r="AB36" s="151">
        <f>Z36-AA36</f>
        <v>6584713.7607573699</v>
      </c>
      <c r="AC36" s="364">
        <f t="shared" si="28"/>
        <v>6366188.475982748</v>
      </c>
      <c r="AD36" s="364">
        <f>SUM(R36:Y36)</f>
        <v>218525.28477462253</v>
      </c>
      <c r="AE36" s="151">
        <f>AB36</f>
        <v>6584713.7607573699</v>
      </c>
      <c r="AF36" s="151">
        <f>AB36+AA36</f>
        <v>6584713.7607573699</v>
      </c>
      <c r="AG36" s="356">
        <f>Parameters!E29</f>
        <v>84462.352700000003</v>
      </c>
      <c r="AH36" s="688">
        <f t="shared" si="19"/>
        <v>77.960340320443976</v>
      </c>
      <c r="AI36" s="679">
        <f t="shared" si="20"/>
        <v>7.7960340320443979</v>
      </c>
      <c r="AJ36" s="219">
        <f t="shared" si="21"/>
        <v>77.960340320443976</v>
      </c>
      <c r="AK36" s="160">
        <f t="shared" si="11"/>
        <v>7.7960340320443979</v>
      </c>
      <c r="AM36" s="940">
        <v>22</v>
      </c>
    </row>
    <row r="37" spans="1:39" s="100" customFormat="1" ht="15" customHeight="1">
      <c r="A37" s="27"/>
      <c r="B37" s="161" t="s">
        <v>64</v>
      </c>
      <c r="C37" s="559">
        <f>'Sheet 1 Gen &amp; Rec'!C36</f>
        <v>24468.760000000002</v>
      </c>
      <c r="D37" s="868">
        <f t="shared" si="22"/>
        <v>3.1584970373745559E-2</v>
      </c>
      <c r="E37" s="142">
        <f t="shared" si="23"/>
        <v>3153716.2337256004</v>
      </c>
      <c r="F37" s="443">
        <f t="shared" si="14"/>
        <v>120.30036912899305</v>
      </c>
      <c r="G37" s="890">
        <f>+'Sheet 2 Gross &amp; Net Costs'!E36</f>
        <v>2368873.0762945125</v>
      </c>
      <c r="H37" s="891">
        <f t="shared" si="24"/>
        <v>1.0676089168451237E-2</v>
      </c>
      <c r="I37" s="892">
        <f t="shared" si="25"/>
        <v>1065992.9493311718</v>
      </c>
      <c r="J37" s="444">
        <f t="shared" si="15"/>
        <v>40.662930901031039</v>
      </c>
      <c r="K37" s="876">
        <f>+IF('Sheet 1 Gen &amp; Rec'!F36&lt;'Sheet 2 Gross &amp; Net Costs'!$S$3,'Sheet 1 Gen &amp; Rec'!C36*'Sheet 2 Gross &amp; Net Costs'!$S$3-'Sheet 1 Gen &amp; Rec'!E36,0)</f>
        <v>0</v>
      </c>
      <c r="L37" s="875">
        <f t="shared" si="26"/>
        <v>0</v>
      </c>
      <c r="M37" s="142">
        <f t="shared" si="27"/>
        <v>0</v>
      </c>
      <c r="N37" s="145">
        <f t="shared" si="16"/>
        <v>0</v>
      </c>
      <c r="O37" s="885">
        <f>'Sheet 2 Gross &amp; Net Costs'!H36</f>
        <v>528416.50000838249</v>
      </c>
      <c r="P37" s="146">
        <f t="shared" si="17"/>
        <v>1845646.3415241947</v>
      </c>
      <c r="Q37" s="445">
        <f t="shared" si="18"/>
        <v>70.403270209457531</v>
      </c>
      <c r="R37" s="776">
        <v>0</v>
      </c>
      <c r="S37" s="759"/>
      <c r="T37" s="446"/>
      <c r="U37" s="447">
        <f>U$6*('Sheet 1 Gen &amp; Rec'!$O36)</f>
        <v>11728.89186729203</v>
      </c>
      <c r="V37" s="447">
        <f>V$6*('Sheet 1 Gen &amp; Rec'!$O36)</f>
        <v>1144.2821333943446</v>
      </c>
      <c r="W37" s="447">
        <f>W$6*('Sheet 1 Gen &amp; Rec'!$O36)</f>
        <v>8810.9724271364521</v>
      </c>
      <c r="X37" s="447">
        <f>X$6*('Sheet 1 Gen &amp; Rec'!$O36)</f>
        <v>42910.580002287919</v>
      </c>
      <c r="Y37" s="447">
        <f>Y$6*('Sheet 1 Gen &amp; Rec'!$O36)</f>
        <v>5492.5542402928531</v>
      </c>
      <c r="Z37" s="448">
        <f>SUM(P37,R37:Y37)</f>
        <v>1915733.6221945984</v>
      </c>
      <c r="AA37" s="168"/>
      <c r="AB37" s="221">
        <f>Z37-AA37</f>
        <v>1915733.6221945984</v>
      </c>
      <c r="AC37" s="744">
        <f t="shared" si="28"/>
        <v>1845646.3415241947</v>
      </c>
      <c r="AD37" s="744">
        <f>SUM(R37:Y37)</f>
        <v>70087.280670403605</v>
      </c>
      <c r="AE37" s="151">
        <f>AB37</f>
        <v>1915733.6221945984</v>
      </c>
      <c r="AF37" s="151">
        <f>AB37+AA37</f>
        <v>1915733.6221945984</v>
      </c>
      <c r="AG37" s="356">
        <f>Parameters!E30</f>
        <v>26215.349600000001</v>
      </c>
      <c r="AH37" s="688">
        <f t="shared" si="19"/>
        <v>73.076790942150865</v>
      </c>
      <c r="AI37" s="681">
        <f t="shared" si="20"/>
        <v>7.3076790942150858</v>
      </c>
      <c r="AJ37" s="220">
        <f t="shared" si="21"/>
        <v>73.076790942150865</v>
      </c>
      <c r="AK37" s="165">
        <f t="shared" si="11"/>
        <v>7.3076790942150858</v>
      </c>
      <c r="AM37" s="940">
        <v>23</v>
      </c>
    </row>
    <row r="38" spans="1:39" s="55" customFormat="1" ht="15" customHeight="1" thickBot="1">
      <c r="A38" s="171" t="s">
        <v>56</v>
      </c>
      <c r="B38" s="172"/>
      <c r="C38" s="870">
        <f>'Sheet 1 Gen &amp; Rec'!C37</f>
        <v>100759.95999999999</v>
      </c>
      <c r="D38" s="868">
        <f t="shared" si="22"/>
        <v>0.13006381816895449</v>
      </c>
      <c r="E38" s="173">
        <f t="shared" si="23"/>
        <v>12986694.935155768</v>
      </c>
      <c r="F38" s="174">
        <f t="shared" si="14"/>
        <v>117.33795213740869</v>
      </c>
      <c r="G38" s="890">
        <f>+SUM(G36:G37)</f>
        <v>14206407.705977891</v>
      </c>
      <c r="H38" s="891">
        <f t="shared" si="24"/>
        <v>6.4025750028633588E-2</v>
      </c>
      <c r="I38" s="892">
        <f t="shared" si="25"/>
        <v>6392883.8574944697</v>
      </c>
      <c r="J38" s="175">
        <f t="shared" si="15"/>
        <v>57.76126287990774</v>
      </c>
      <c r="K38" s="877">
        <f>+SUM(K36:K37)</f>
        <v>0</v>
      </c>
      <c r="L38" s="875">
        <f t="shared" si="26"/>
        <v>0</v>
      </c>
      <c r="M38" s="142">
        <f t="shared" si="27"/>
        <v>0</v>
      </c>
      <c r="N38" s="145">
        <f t="shared" si="16"/>
        <v>0</v>
      </c>
      <c r="O38" s="933">
        <f>+SUM(O36:O37)</f>
        <v>2955909.157636357</v>
      </c>
      <c r="P38" s="233">
        <f>+SUM(P36:P37)</f>
        <v>8211834.8175069429</v>
      </c>
      <c r="Q38" s="379">
        <f t="shared" si="18"/>
        <v>74.195927877578853</v>
      </c>
      <c r="R38" s="779">
        <f>R36+R37</f>
        <v>0</v>
      </c>
      <c r="S38" s="755"/>
      <c r="T38" s="176"/>
      <c r="U38" s="177">
        <f>SUM(U36:U37)</f>
        <v>48298.429319371731</v>
      </c>
      <c r="V38" s="177">
        <f>SUM(V36:V37)</f>
        <v>4712.0418848167537</v>
      </c>
      <c r="W38" s="177">
        <f>SUM(W36:W37)</f>
        <v>36282.722513089</v>
      </c>
      <c r="X38" s="177">
        <f>SUM(X36:X37)</f>
        <v>176701.57068062827</v>
      </c>
      <c r="Y38" s="177">
        <f>SUM(Y36:Y37)</f>
        <v>22617.801047120418</v>
      </c>
      <c r="Z38" s="178">
        <f t="shared" ref="Z38:AG38" si="38">SUM(Z36:Z37)</f>
        <v>8500447.3829519674</v>
      </c>
      <c r="AA38" s="179">
        <f t="shared" si="38"/>
        <v>0</v>
      </c>
      <c r="AB38" s="180">
        <f>SUM(AB36:AB37)</f>
        <v>8500447.3829519674</v>
      </c>
      <c r="AC38" s="180">
        <f t="shared" si="28"/>
        <v>8211834.8175069429</v>
      </c>
      <c r="AD38" s="180">
        <f>SUM(AD36:AD37)</f>
        <v>288612.56544502615</v>
      </c>
      <c r="AE38" s="180">
        <f t="shared" si="38"/>
        <v>8500447.3829519674</v>
      </c>
      <c r="AF38" s="180">
        <f t="shared" si="38"/>
        <v>8500447.3829519674</v>
      </c>
      <c r="AG38" s="353">
        <f t="shared" si="38"/>
        <v>110677.7023</v>
      </c>
      <c r="AH38" s="689">
        <f t="shared" si="19"/>
        <v>76.803612708826236</v>
      </c>
      <c r="AI38" s="682">
        <f t="shared" si="20"/>
        <v>7.6803612708826243</v>
      </c>
      <c r="AJ38" s="229">
        <f t="shared" si="21"/>
        <v>76.803612708826236</v>
      </c>
      <c r="AK38" s="182">
        <f>AJ38*100/1000</f>
        <v>7.6803612708826243</v>
      </c>
    </row>
    <row r="39" spans="1:39" s="55" customFormat="1" ht="15" customHeight="1" thickBot="1">
      <c r="A39" s="895"/>
      <c r="B39" s="896"/>
      <c r="C39" s="897"/>
      <c r="D39" s="898"/>
      <c r="E39" s="186"/>
      <c r="F39" s="187"/>
      <c r="G39" s="890"/>
      <c r="H39" s="891"/>
      <c r="I39" s="892"/>
      <c r="J39" s="189"/>
      <c r="K39" s="877"/>
      <c r="L39" s="878"/>
      <c r="M39" s="899"/>
      <c r="N39" s="453"/>
      <c r="O39" s="885"/>
      <c r="P39" s="146"/>
      <c r="Q39" s="380"/>
      <c r="R39" s="900"/>
      <c r="S39" s="756"/>
      <c r="T39" s="901"/>
      <c r="U39" s="194"/>
      <c r="V39" s="194"/>
      <c r="W39" s="194"/>
      <c r="X39" s="194"/>
      <c r="Y39" s="194"/>
      <c r="Z39" s="195"/>
      <c r="AA39" s="196"/>
      <c r="AB39" s="197"/>
      <c r="AC39" s="197"/>
      <c r="AD39" s="197"/>
      <c r="AE39" s="197"/>
      <c r="AF39" s="197"/>
      <c r="AG39" s="902"/>
      <c r="AH39" s="903"/>
      <c r="AI39" s="904"/>
      <c r="AJ39" s="905"/>
      <c r="AK39" s="906"/>
    </row>
    <row r="40" spans="1:39" s="100" customFormat="1" ht="17.25" customHeight="1">
      <c r="A40" s="22" t="s">
        <v>187</v>
      </c>
      <c r="B40" s="230"/>
      <c r="C40" s="928">
        <f>SUM(C38,C35,C32,C28,C21)</f>
        <v>774696.30999999994</v>
      </c>
      <c r="D40" s="868">
        <f t="shared" si="22"/>
        <v>1</v>
      </c>
      <c r="E40" s="928">
        <f>SUM(E38,E35,E32,E28,E21)</f>
        <v>99848636.753734946</v>
      </c>
      <c r="F40" s="450"/>
      <c r="G40" s="928">
        <f>SUM(G38,G35,G32,G28,G21)</f>
        <v>221885845.92331213</v>
      </c>
      <c r="H40" s="891">
        <f>+H38+H35+H32+H28+H21</f>
        <v>1</v>
      </c>
      <c r="I40" s="928">
        <f>SUM(I38,I35,I32,I28,I21)</f>
        <v>99848636.753734946</v>
      </c>
      <c r="J40" s="231"/>
      <c r="K40" s="928">
        <f>SUM(K38,K35,K32,K28,K21)</f>
        <v>124850.9086918792</v>
      </c>
      <c r="L40" s="449"/>
      <c r="M40" s="928">
        <f>SUM(M38,M35,M32,M28,M21)</f>
        <v>22188585.945274431</v>
      </c>
      <c r="N40" s="232"/>
      <c r="O40" s="928">
        <f>SUM(O38,O35,O32,O28,O21)</f>
        <v>60361686.850387499</v>
      </c>
      <c r="P40" s="928">
        <f>SUM(P38,P35,P32,P28,P21)</f>
        <v>80762086.301178426</v>
      </c>
      <c r="Q40" s="383"/>
      <c r="R40" s="234"/>
      <c r="S40" s="760"/>
      <c r="T40" s="764"/>
      <c r="U40" s="235"/>
      <c r="V40" s="235"/>
      <c r="W40" s="235"/>
      <c r="X40" s="235"/>
      <c r="Y40" s="235"/>
      <c r="Z40" s="236"/>
      <c r="AA40" s="237"/>
      <c r="AB40" s="238"/>
      <c r="AC40" s="364"/>
      <c r="AD40" s="364"/>
      <c r="AE40" s="238"/>
      <c r="AF40" s="238"/>
      <c r="AG40" s="360"/>
      <c r="AH40" s="692"/>
      <c r="AI40" s="684"/>
      <c r="AJ40" s="239"/>
      <c r="AK40" s="240"/>
    </row>
    <row r="41" spans="1:39" s="100" customFormat="1" ht="17.25" customHeight="1">
      <c r="A41" s="907"/>
      <c r="B41" s="184"/>
      <c r="C41" s="908"/>
      <c r="D41" s="909"/>
      <c r="E41" s="910"/>
      <c r="F41" s="911"/>
      <c r="G41" s="912"/>
      <c r="H41" s="913"/>
      <c r="I41" s="914"/>
      <c r="J41" s="915"/>
      <c r="K41" s="916"/>
      <c r="L41" s="917"/>
      <c r="M41" s="918"/>
      <c r="N41" s="919"/>
      <c r="O41" s="920"/>
      <c r="P41" s="192"/>
      <c r="Q41" s="921"/>
      <c r="R41" s="900"/>
      <c r="S41" s="756"/>
      <c r="T41" s="750"/>
      <c r="U41" s="922"/>
      <c r="V41" s="922"/>
      <c r="W41" s="922"/>
      <c r="X41" s="922"/>
      <c r="Y41" s="922"/>
      <c r="Z41" s="195"/>
      <c r="AA41" s="196"/>
      <c r="AB41" s="197"/>
      <c r="AC41" s="744"/>
      <c r="AD41" s="744"/>
      <c r="AE41" s="197"/>
      <c r="AF41" s="197"/>
      <c r="AG41" s="923"/>
      <c r="AH41" s="924"/>
      <c r="AI41" s="925"/>
      <c r="AJ41" s="926"/>
      <c r="AK41" s="927"/>
    </row>
    <row r="42" spans="1:39" s="101" customFormat="1" ht="17.25" customHeight="1">
      <c r="A42" s="241"/>
      <c r="B42" s="242" t="s">
        <v>48</v>
      </c>
      <c r="C42" s="871">
        <f>SUM(C13)</f>
        <v>537652.82999999996</v>
      </c>
      <c r="D42" s="873">
        <f>SUM(D13)</f>
        <v>1</v>
      </c>
      <c r="E42" s="243">
        <f>Parameters!F$14*C6</f>
        <v>30067920</v>
      </c>
      <c r="F42" s="244"/>
      <c r="G42" s="871">
        <f>SUM(G13)</f>
        <v>66817613.529432178</v>
      </c>
      <c r="H42" s="873">
        <f>SUM(H13)</f>
        <v>1</v>
      </c>
      <c r="I42" s="245">
        <f>Parameters!F$14*G6</f>
        <v>30067920</v>
      </c>
      <c r="J42" s="246"/>
      <c r="K42" s="871">
        <f>SUM(K13)</f>
        <v>5054.4652144380671</v>
      </c>
      <c r="L42" s="873">
        <f>SUM(L13)</f>
        <v>1</v>
      </c>
      <c r="M42" s="247">
        <f>Parameters!F$14*K6</f>
        <v>6681760</v>
      </c>
      <c r="N42" s="248"/>
      <c r="O42" s="871">
        <f>SUM(O13)</f>
        <v>41443082.602356747</v>
      </c>
      <c r="P42" s="249">
        <f>+SUM(P8:P12)</f>
        <v>12687258.698821627</v>
      </c>
      <c r="Q42" s="384"/>
      <c r="R42" s="250">
        <f>R38+R35+R32+R28+R21+R13</f>
        <v>0</v>
      </c>
      <c r="S42" s="761">
        <f>S38+S35+S32+S28+S21+S13</f>
        <v>0</v>
      </c>
      <c r="T42" s="763">
        <f>T38+T35+T32+T28+T21+T13</f>
        <v>3000000</v>
      </c>
      <c r="U42" s="251">
        <f>SUM(U36:U37)+U35+U32+U28+U21+U13</f>
        <v>1025000</v>
      </c>
      <c r="V42" s="251">
        <f>SUM(V36:V37)+V35+V32+V28+V21+V13</f>
        <v>100000</v>
      </c>
      <c r="W42" s="251">
        <f>SUM(W36:W37)+W35+W32+W28+W21+W13</f>
        <v>770000</v>
      </c>
      <c r="X42" s="251">
        <f>SUM(X36:X37)+X35+X32+X28+X21+X13</f>
        <v>3750000</v>
      </c>
      <c r="Y42" s="251">
        <f>SUM(Y36:Y37)+Y35+Y32+Y28+Y21+Y13</f>
        <v>480000</v>
      </c>
      <c r="Z42" s="252">
        <f>Z38+Z35+Z32+Z28+Z21+Z13</f>
        <v>102574345.00000004</v>
      </c>
      <c r="AA42" s="253">
        <f>AA38+AA35+AA32+AA28+AA21+AA13</f>
        <v>3144332.8268186823</v>
      </c>
      <c r="AB42" s="254">
        <f>AB13+AB21+AB28+AB32+AB35+AB38</f>
        <v>99430012.173181355</v>
      </c>
      <c r="AC42" s="254">
        <f>AC13+AC21+AC28+AC32+AC35+AC38</f>
        <v>93449345.000000045</v>
      </c>
      <c r="AD42" s="254">
        <f>AD13+AD21+AD28+AD32+AD35+AD38</f>
        <v>9125000</v>
      </c>
      <c r="AE42" s="254">
        <f>AE13+AE21+AE28+AE32+AE35+AE38</f>
        <v>99430012.173181355</v>
      </c>
      <c r="AF42" s="254">
        <f>AF13+AF21+AF28+AF32+AF35+AF38</f>
        <v>102574345.00000006</v>
      </c>
      <c r="AG42" s="358">
        <f>AG13</f>
        <v>454436.30449999997</v>
      </c>
      <c r="AH42" s="693"/>
      <c r="AI42" s="685"/>
      <c r="AJ42" s="255"/>
      <c r="AK42" s="140"/>
    </row>
    <row r="43" spans="1:39" s="3" customFormat="1" ht="18" customHeight="1" thickBot="1">
      <c r="A43" s="256"/>
      <c r="B43" s="257" t="s">
        <v>49</v>
      </c>
      <c r="C43" s="872">
        <f>SUM(C21,C28,C32,C35,C38)</f>
        <v>774696.30999999994</v>
      </c>
      <c r="D43" s="874">
        <f>SUM(D21,D28,D32,D35,D38)</f>
        <v>1</v>
      </c>
      <c r="E43" s="258">
        <f>Parameters!F$15*C6</f>
        <v>99848636.753734946</v>
      </c>
      <c r="F43" s="259"/>
      <c r="G43" s="872">
        <f>SUM(G21,G28,G32,G35,G38)</f>
        <v>221885845.92331213</v>
      </c>
      <c r="H43" s="874">
        <f>SUM(H21,H28,H32,H35,H38)</f>
        <v>1</v>
      </c>
      <c r="I43" s="260">
        <f>Parameters!F$15*G6</f>
        <v>99848636.753734946</v>
      </c>
      <c r="J43" s="261"/>
      <c r="K43" s="872">
        <f>+K40</f>
        <v>124850.9086918792</v>
      </c>
      <c r="L43" s="874">
        <f>SUM(L21,L28,L32,L35,L38)</f>
        <v>1</v>
      </c>
      <c r="M43" s="262">
        <f>Parameters!F$15*K6</f>
        <v>22188585.945274431</v>
      </c>
      <c r="N43" s="263"/>
      <c r="O43" s="872">
        <f>SUM(O21,O28,O32,O35,O38)</f>
        <v>60361686.850387499</v>
      </c>
      <c r="P43" s="264">
        <f>+P40</f>
        <v>80762086.301178426</v>
      </c>
      <c r="Q43" s="385"/>
      <c r="R43" s="265"/>
      <c r="S43" s="762"/>
      <c r="T43" s="765"/>
      <c r="U43" s="266"/>
      <c r="V43" s="266"/>
      <c r="W43" s="266"/>
      <c r="X43" s="266"/>
      <c r="Y43" s="267"/>
      <c r="Z43" s="268"/>
      <c r="AA43" s="269"/>
      <c r="AB43" s="270"/>
      <c r="AC43" s="365"/>
      <c r="AD43" s="365"/>
      <c r="AE43" s="270"/>
      <c r="AF43" s="270"/>
      <c r="AG43" s="367">
        <f>AG21+AG28+AG32+AG35+AG38</f>
        <v>724844.19341999991</v>
      </c>
      <c r="AH43" s="694"/>
      <c r="AI43" s="686"/>
      <c r="AJ43" s="256"/>
      <c r="AK43" s="271"/>
    </row>
    <row r="44" spans="1:39" s="940" customFormat="1" ht="18" customHeight="1">
      <c r="A44" s="965"/>
      <c r="C44" s="994">
        <f>SUM(C42:C43)</f>
        <v>1312349.1399999999</v>
      </c>
      <c r="D44" s="966"/>
      <c r="E44" s="942">
        <f>SUM(E42:E43)</f>
        <v>129916556.75373495</v>
      </c>
      <c r="G44" s="994">
        <f>SUM(G42:G43)</f>
        <v>288703459.45274431</v>
      </c>
      <c r="H44" s="957"/>
      <c r="I44" s="942">
        <f>SUM(I42:I43)</f>
        <v>129916556.75373495</v>
      </c>
      <c r="J44" s="967"/>
      <c r="K44" s="994">
        <f>SUM(K42:K43)</f>
        <v>129905.37390631727</v>
      </c>
      <c r="L44" s="966">
        <f>L38+L35+L32+L28+L21+L13</f>
        <v>2</v>
      </c>
      <c r="M44" s="942">
        <f>SUM(M42:M43)</f>
        <v>28870345.945274431</v>
      </c>
      <c r="N44" s="967"/>
      <c r="O44" s="994">
        <f>SUM(O42:O43)</f>
        <v>101804769.45274425</v>
      </c>
      <c r="P44" s="994">
        <f>SUM(P42:P43)</f>
        <v>93449345.00000006</v>
      </c>
      <c r="Q44" s="968"/>
      <c r="R44" s="942"/>
      <c r="S44" s="942"/>
      <c r="T44" s="942"/>
      <c r="U44" s="942"/>
      <c r="V44" s="942"/>
      <c r="W44" s="942"/>
      <c r="X44" s="942"/>
      <c r="Y44" s="966"/>
      <c r="Z44" s="942"/>
      <c r="AA44" s="942"/>
      <c r="AB44" s="969"/>
      <c r="AC44" s="942"/>
      <c r="AD44" s="969"/>
      <c r="AE44" s="970"/>
      <c r="AF44" s="942"/>
      <c r="AG44" s="971">
        <f>SUM(AG42:AG43)</f>
        <v>1179280.49792</v>
      </c>
      <c r="AH44" s="957"/>
      <c r="AI44" s="957"/>
      <c r="AJ44" s="957"/>
      <c r="AK44" s="957"/>
    </row>
    <row r="45" spans="1:39" s="940" customFormat="1" ht="18" customHeight="1">
      <c r="A45" s="965"/>
      <c r="C45" s="966"/>
      <c r="D45" s="966"/>
      <c r="E45" s="972">
        <f>E43/E44</f>
        <v>0.76855975288049205</v>
      </c>
      <c r="G45" s="971"/>
      <c r="H45" s="957"/>
      <c r="I45" s="972">
        <f>I43/I44</f>
        <v>0.76855975288049205</v>
      </c>
      <c r="J45" s="967"/>
      <c r="K45" s="966"/>
      <c r="M45" s="972">
        <f>M43/M44</f>
        <v>0.76855975288049205</v>
      </c>
      <c r="N45" s="966"/>
      <c r="O45" s="972"/>
      <c r="P45" s="973">
        <f>P43/P44</f>
        <v>0.8642338402819022</v>
      </c>
      <c r="Q45" s="966"/>
      <c r="T45" s="942"/>
      <c r="U45" s="942"/>
      <c r="V45" s="942"/>
      <c r="W45" s="942"/>
      <c r="X45" s="942"/>
      <c r="Y45" s="942"/>
      <c r="Z45" s="942"/>
      <c r="AA45" s="974"/>
      <c r="AB45" s="942"/>
      <c r="AC45" s="942"/>
      <c r="AD45" s="942"/>
      <c r="AF45" s="942"/>
      <c r="AG45" s="942"/>
      <c r="AH45" s="942"/>
      <c r="AI45" s="942"/>
      <c r="AJ45" s="957"/>
      <c r="AK45" s="957"/>
      <c r="AL45" s="957"/>
    </row>
    <row r="46" spans="1:39" s="940" customFormat="1" ht="18" customHeight="1">
      <c r="A46" s="965"/>
      <c r="C46" s="966"/>
      <c r="D46" s="967"/>
      <c r="E46" s="975">
        <f>E42-E13</f>
        <v>0</v>
      </c>
      <c r="F46" s="957"/>
      <c r="G46" s="957"/>
      <c r="H46" s="957"/>
      <c r="I46" s="975">
        <f>I42-I13</f>
        <v>0</v>
      </c>
      <c r="J46" s="967"/>
      <c r="K46" s="967"/>
      <c r="L46" s="957"/>
      <c r="M46" s="975">
        <f>M42-M13</f>
        <v>0</v>
      </c>
      <c r="N46" s="957"/>
      <c r="O46" s="975">
        <f>O42-O13</f>
        <v>0</v>
      </c>
      <c r="P46" s="975">
        <f>P42-P13</f>
        <v>0</v>
      </c>
      <c r="Q46" s="967"/>
      <c r="R46" s="967"/>
      <c r="S46" s="967"/>
      <c r="T46" s="967"/>
      <c r="Y46" s="942"/>
      <c r="Z46" s="942"/>
      <c r="AA46" s="976" t="s">
        <v>142</v>
      </c>
      <c r="AB46" s="942"/>
      <c r="AC46" s="942"/>
      <c r="AD46" s="942"/>
      <c r="AE46" s="942"/>
      <c r="AF46" s="942"/>
      <c r="AG46" s="977"/>
      <c r="AH46" s="942"/>
      <c r="AI46" s="942"/>
      <c r="AJ46" s="942"/>
      <c r="AK46" s="957"/>
      <c r="AL46" s="957"/>
      <c r="AM46" s="957"/>
    </row>
    <row r="47" spans="1:39" s="940" customFormat="1" ht="15" customHeight="1">
      <c r="A47" s="965"/>
      <c r="C47" s="966"/>
      <c r="D47" s="967"/>
      <c r="E47" s="978">
        <f>E43-E40</f>
        <v>0</v>
      </c>
      <c r="F47" s="967"/>
      <c r="G47" s="967"/>
      <c r="H47" s="967"/>
      <c r="I47" s="978">
        <f>I43-I40</f>
        <v>0</v>
      </c>
      <c r="J47" s="957"/>
      <c r="K47" s="957"/>
      <c r="L47" s="957"/>
      <c r="M47" s="978">
        <f>M43-M40</f>
        <v>0</v>
      </c>
      <c r="N47" s="957"/>
      <c r="O47" s="978">
        <f>O43-O40</f>
        <v>0</v>
      </c>
      <c r="P47" s="978">
        <f>P43-P40</f>
        <v>0</v>
      </c>
      <c r="Q47" s="957"/>
      <c r="R47" s="979"/>
      <c r="S47" s="979"/>
      <c r="T47" s="967"/>
      <c r="AA47" s="976" t="s">
        <v>143</v>
      </c>
      <c r="AB47" s="942"/>
      <c r="AC47" s="942"/>
      <c r="AD47" s="942"/>
      <c r="AE47" s="980"/>
      <c r="AF47" s="942"/>
      <c r="AG47" s="942"/>
      <c r="AH47" s="942"/>
      <c r="AI47" s="942"/>
      <c r="AJ47" s="981"/>
    </row>
    <row r="48" spans="1:39" ht="15" customHeight="1">
      <c r="C48" s="272"/>
      <c r="D48" s="562"/>
      <c r="E48" s="343"/>
      <c r="F48" s="562"/>
      <c r="G48" s="343"/>
      <c r="H48" s="343"/>
      <c r="I48" s="562"/>
      <c r="J48" s="562"/>
      <c r="K48" s="562"/>
      <c r="L48" s="343"/>
      <c r="M48" s="343"/>
      <c r="N48" s="343"/>
      <c r="O48" s="343"/>
      <c r="P48" s="562"/>
      <c r="Q48" s="562"/>
      <c r="R48" s="562"/>
      <c r="S48" s="562"/>
      <c r="T48" s="562"/>
      <c r="AA48" s="976" t="s">
        <v>146</v>
      </c>
      <c r="AB48" s="274"/>
      <c r="AC48" s="274"/>
      <c r="AD48" s="274"/>
      <c r="AE48" s="372"/>
      <c r="AF48" s="273"/>
      <c r="AG48" s="273"/>
      <c r="AH48" s="273"/>
      <c r="AI48" s="273"/>
      <c r="AJ48" s="275"/>
      <c r="AK48" s="276"/>
      <c r="AM48" s="276"/>
    </row>
    <row r="49" spans="3:39" ht="15" customHeight="1">
      <c r="C49" s="272"/>
      <c r="D49" s="562"/>
      <c r="E49" s="102"/>
      <c r="F49" s="562"/>
      <c r="G49" s="343"/>
      <c r="H49" s="343"/>
      <c r="I49" s="343"/>
      <c r="J49" s="343"/>
      <c r="K49" s="343"/>
      <c r="L49" s="343"/>
      <c r="M49" s="343"/>
      <c r="N49" s="343"/>
      <c r="O49" s="343"/>
      <c r="P49" s="562"/>
      <c r="Q49" s="343"/>
      <c r="R49" s="562"/>
      <c r="S49" s="562"/>
      <c r="T49" s="562"/>
      <c r="Z49" s="273"/>
      <c r="AA49" s="789"/>
      <c r="AB49" s="274"/>
      <c r="AC49" s="274"/>
      <c r="AD49" s="274"/>
      <c r="AE49" s="373"/>
      <c r="AF49" s="341"/>
      <c r="AG49"/>
      <c r="AH49" s="273"/>
      <c r="AI49" s="273"/>
      <c r="AJ49" s="275"/>
      <c r="AK49" s="276"/>
      <c r="AM49" s="276"/>
    </row>
    <row r="50" spans="3:39" ht="15" customHeight="1">
      <c r="C50" s="272"/>
      <c r="D50" s="562"/>
      <c r="E50" s="102"/>
      <c r="F50" s="562"/>
      <c r="G50" s="343"/>
      <c r="H50" s="343"/>
      <c r="I50" s="343"/>
      <c r="J50" s="343"/>
      <c r="K50" s="343"/>
      <c r="L50" s="343"/>
      <c r="M50" s="343"/>
      <c r="N50" s="343"/>
      <c r="O50" s="343"/>
      <c r="P50" s="343"/>
      <c r="Q50" s="343"/>
      <c r="R50" s="562"/>
      <c r="S50" s="562"/>
      <c r="T50" s="562"/>
      <c r="Z50" s="273"/>
      <c r="AA50" s="741"/>
      <c r="AB50" s="274"/>
      <c r="AC50" s="274"/>
      <c r="AD50" s="274"/>
      <c r="AE50" s="374"/>
      <c r="AF50" s="273"/>
      <c r="AG50" s="273"/>
      <c r="AH50" s="273"/>
      <c r="AI50" s="273"/>
      <c r="AJ50" s="275"/>
    </row>
    <row r="51" spans="3:39" ht="15" customHeight="1">
      <c r="C51" s="272"/>
      <c r="D51" s="562"/>
      <c r="E51" s="894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562"/>
      <c r="S51" s="562"/>
      <c r="T51" s="562"/>
      <c r="Y51" s="6"/>
      <c r="Z51" s="273"/>
      <c r="AB51" s="274"/>
      <c r="AC51" s="274"/>
      <c r="AD51" s="274"/>
      <c r="AE51" s="374"/>
      <c r="AF51" s="273"/>
      <c r="AG51" s="273"/>
      <c r="AH51" s="273"/>
      <c r="AI51" s="273"/>
      <c r="AJ51" s="275"/>
    </row>
    <row r="52" spans="3:39" ht="15" customHeight="1">
      <c r="C52" s="272"/>
      <c r="D52" s="562"/>
      <c r="E52" s="343"/>
      <c r="F52" s="562"/>
      <c r="G52" s="278"/>
      <c r="H52" s="278"/>
      <c r="I52" s="562"/>
      <c r="J52" s="563"/>
      <c r="K52" s="343"/>
      <c r="L52" s="343"/>
      <c r="M52" s="343"/>
      <c r="N52" s="343"/>
      <c r="O52" s="343"/>
      <c r="P52" s="278"/>
      <c r="Q52" s="564"/>
      <c r="R52" s="562"/>
      <c r="S52" s="562"/>
      <c r="T52" s="562"/>
      <c r="U52" s="277"/>
      <c r="V52" s="277"/>
      <c r="W52" s="277"/>
      <c r="X52" s="277"/>
      <c r="Y52" s="6"/>
      <c r="AB52" s="274"/>
      <c r="AE52" s="405"/>
      <c r="AF52" s="369"/>
      <c r="AG52" s="369"/>
      <c r="AH52" s="369"/>
      <c r="AI52" s="369"/>
      <c r="AJ52" s="275"/>
    </row>
    <row r="53" spans="3:39" ht="15" customHeight="1">
      <c r="C53" s="272"/>
      <c r="D53" s="562"/>
      <c r="E53" s="343"/>
      <c r="F53" s="562"/>
      <c r="G53" s="278"/>
      <c r="H53" s="278"/>
      <c r="I53" s="562"/>
      <c r="J53" s="563"/>
      <c r="K53" s="343"/>
      <c r="L53" s="343"/>
      <c r="M53" s="343"/>
      <c r="N53" s="343"/>
      <c r="O53" s="343"/>
      <c r="P53" s="278"/>
      <c r="Q53" s="564"/>
      <c r="R53" s="562"/>
      <c r="S53" s="562"/>
      <c r="T53" s="562"/>
      <c r="U53" s="272"/>
      <c r="V53" s="272"/>
      <c r="W53" s="272"/>
      <c r="X53" s="272"/>
      <c r="Y53" s="272"/>
      <c r="AB53" s="279"/>
      <c r="AE53" s="405"/>
      <c r="AF53" s="369"/>
      <c r="AG53" s="369"/>
      <c r="AH53" s="369"/>
      <c r="AI53" s="369"/>
    </row>
    <row r="54" spans="3:39" ht="15" customHeight="1">
      <c r="D54" s="343"/>
      <c r="E54" s="343"/>
      <c r="F54" s="562"/>
      <c r="G54" s="343"/>
      <c r="H54" s="343"/>
      <c r="I54" s="343"/>
      <c r="J54" s="343"/>
      <c r="K54" s="343"/>
      <c r="L54" s="343"/>
      <c r="M54" s="343"/>
      <c r="N54" s="343"/>
      <c r="O54" s="343"/>
      <c r="P54" s="562"/>
      <c r="Q54" s="343"/>
      <c r="R54" s="343"/>
      <c r="S54" s="343"/>
      <c r="T54" s="343"/>
      <c r="AB54" s="368"/>
      <c r="AE54" s="406"/>
      <c r="AF54" s="369"/>
      <c r="AG54" s="369"/>
      <c r="AH54" s="369"/>
      <c r="AI54" s="369"/>
    </row>
    <row r="55" spans="3:39" ht="15" customHeight="1">
      <c r="D55" s="343"/>
      <c r="E55" s="343"/>
      <c r="F55" s="343"/>
      <c r="G55" s="389"/>
      <c r="H55" s="389"/>
      <c r="I55" s="565"/>
      <c r="J55" s="389"/>
      <c r="K55" s="343"/>
      <c r="L55" s="389"/>
      <c r="M55" s="389"/>
      <c r="N55" s="566"/>
      <c r="O55" s="566"/>
      <c r="P55" s="343"/>
      <c r="Q55" s="389"/>
      <c r="R55" s="343"/>
      <c r="S55" s="343"/>
      <c r="T55" s="343"/>
      <c r="AA55" s="272">
        <v>3943000</v>
      </c>
      <c r="AB55" s="280"/>
      <c r="AE55" s="406"/>
      <c r="AF55" s="369"/>
      <c r="AG55" s="369"/>
      <c r="AH55" s="369"/>
      <c r="AI55" s="369"/>
    </row>
    <row r="56" spans="3:39" ht="15" customHeight="1">
      <c r="D56" s="343"/>
      <c r="E56" s="343"/>
      <c r="F56" s="278"/>
      <c r="G56" s="567"/>
      <c r="H56" s="567"/>
      <c r="I56" s="565"/>
      <c r="J56" s="568"/>
      <c r="K56" s="343"/>
      <c r="L56" s="569"/>
      <c r="M56" s="569"/>
      <c r="N56" s="566"/>
      <c r="O56" s="566"/>
      <c r="P56" s="102"/>
      <c r="Q56" s="389"/>
      <c r="R56" s="343"/>
      <c r="S56" s="343"/>
      <c r="T56" s="343"/>
      <c r="AA56" s="272"/>
      <c r="AB56" s="280"/>
      <c r="AE56" s="406"/>
      <c r="AF56" s="369"/>
      <c r="AG56" s="369"/>
      <c r="AH56" s="369"/>
      <c r="AI56" s="369"/>
    </row>
    <row r="57" spans="3:39" ht="15" customHeight="1">
      <c r="D57" s="343"/>
      <c r="E57" s="343"/>
      <c r="F57" s="278"/>
      <c r="G57" s="570"/>
      <c r="H57" s="570"/>
      <c r="I57" s="565"/>
      <c r="J57" s="571"/>
      <c r="K57" s="343"/>
      <c r="L57" s="569"/>
      <c r="M57" s="569"/>
      <c r="N57" s="566"/>
      <c r="O57" s="566"/>
      <c r="P57" s="102"/>
      <c r="Q57" s="389"/>
      <c r="R57" s="343"/>
      <c r="S57" s="343"/>
      <c r="T57" s="343"/>
      <c r="AA57" s="273"/>
      <c r="AB57" s="274"/>
      <c r="AC57" s="274"/>
      <c r="AD57" s="274"/>
      <c r="AE57" s="407"/>
      <c r="AF57" s="273"/>
      <c r="AG57" s="273"/>
      <c r="AH57" s="273"/>
      <c r="AI57" s="273"/>
      <c r="AJ57" s="343"/>
      <c r="AK57" s="343"/>
    </row>
    <row r="58" spans="3:39" ht="15" customHeight="1">
      <c r="D58" s="343"/>
      <c r="E58" s="343"/>
      <c r="F58" s="278"/>
      <c r="G58" s="278"/>
      <c r="H58" s="278"/>
      <c r="I58" s="278"/>
      <c r="J58" s="278"/>
      <c r="K58" s="343"/>
      <c r="L58" s="278"/>
      <c r="M58" s="278"/>
      <c r="N58" s="278"/>
      <c r="O58" s="278"/>
      <c r="P58" s="278"/>
      <c r="Q58" s="389"/>
      <c r="R58" s="343"/>
      <c r="S58" s="343"/>
      <c r="T58" s="343"/>
      <c r="AA58" s="272"/>
      <c r="AB58" s="280"/>
      <c r="AE58" s="406"/>
      <c r="AF58" s="369"/>
      <c r="AG58" s="369"/>
      <c r="AH58" s="369"/>
      <c r="AI58" s="369"/>
    </row>
    <row r="59" spans="3:39" ht="15" customHeight="1">
      <c r="D59" s="343"/>
      <c r="E59" s="343"/>
      <c r="F59" s="278"/>
      <c r="G59" s="567"/>
      <c r="H59" s="567"/>
      <c r="I59" s="565"/>
      <c r="J59" s="568"/>
      <c r="K59" s="343"/>
      <c r="L59" s="569"/>
      <c r="M59" s="569"/>
      <c r="N59" s="566"/>
      <c r="O59" s="566"/>
      <c r="P59" s="102"/>
      <c r="Q59" s="389"/>
      <c r="R59" s="343"/>
      <c r="S59" s="343"/>
      <c r="T59" s="343"/>
      <c r="AA59" s="273"/>
      <c r="AB59" s="274"/>
      <c r="AC59" s="274"/>
      <c r="AD59" s="274"/>
      <c r="AE59" s="406"/>
      <c r="AF59" s="369"/>
      <c r="AG59" s="369"/>
      <c r="AH59" s="369"/>
      <c r="AI59" s="369"/>
    </row>
    <row r="60" spans="3:39" ht="15" customHeight="1">
      <c r="D60" s="343"/>
      <c r="E60" s="343"/>
      <c r="F60" s="278"/>
      <c r="G60" s="567"/>
      <c r="H60" s="567"/>
      <c r="I60" s="565"/>
      <c r="J60" s="571"/>
      <c r="K60" s="343"/>
      <c r="L60" s="569"/>
      <c r="M60" s="569"/>
      <c r="N60" s="566"/>
      <c r="O60" s="566"/>
      <c r="P60" s="102"/>
      <c r="Q60" s="389"/>
      <c r="R60" s="343"/>
      <c r="S60" s="343"/>
      <c r="T60" s="343"/>
      <c r="AA60" s="273"/>
      <c r="AB60" s="274"/>
      <c r="AC60" s="274"/>
      <c r="AD60" s="274"/>
      <c r="AE60" s="374"/>
      <c r="AF60" s="273"/>
      <c r="AG60" s="273"/>
      <c r="AH60" s="273"/>
      <c r="AI60" s="273"/>
    </row>
    <row r="61" spans="3:39" ht="15" customHeight="1">
      <c r="D61" s="343"/>
      <c r="E61" s="343"/>
      <c r="F61" s="343"/>
      <c r="G61" s="343"/>
      <c r="H61" s="343"/>
      <c r="I61" s="343"/>
      <c r="J61" s="343"/>
      <c r="K61" s="343"/>
      <c r="L61" s="343"/>
      <c r="M61" s="343"/>
      <c r="N61" s="343"/>
      <c r="O61" s="343"/>
      <c r="P61" s="343"/>
      <c r="Q61" s="343"/>
      <c r="R61" s="343"/>
      <c r="S61" s="343"/>
      <c r="T61" s="343"/>
      <c r="AA61" s="273"/>
      <c r="AB61" s="274"/>
      <c r="AC61" s="274"/>
      <c r="AD61" s="274"/>
      <c r="AE61" s="374"/>
      <c r="AF61" s="273"/>
      <c r="AG61" s="273"/>
      <c r="AH61" s="273"/>
      <c r="AI61" s="273"/>
    </row>
    <row r="62" spans="3:39" ht="15" customHeight="1">
      <c r="D62" s="343"/>
      <c r="E62" s="343"/>
      <c r="F62" s="343"/>
      <c r="G62" s="343"/>
      <c r="H62" s="343"/>
      <c r="I62" s="343"/>
      <c r="J62" s="343"/>
      <c r="K62" s="343"/>
      <c r="L62" s="343"/>
      <c r="M62" s="343"/>
      <c r="N62" s="343"/>
      <c r="O62" s="343"/>
      <c r="P62" s="343"/>
      <c r="Q62" s="343"/>
      <c r="R62" s="343"/>
      <c r="S62" s="343"/>
      <c r="T62" s="343"/>
      <c r="AA62" s="273"/>
      <c r="AB62" s="274"/>
      <c r="AC62" s="274"/>
      <c r="AD62" s="274"/>
      <c r="AE62" s="374"/>
      <c r="AF62" s="273"/>
      <c r="AG62" s="273"/>
      <c r="AH62" s="273"/>
      <c r="AI62" s="273"/>
    </row>
    <row r="63" spans="3:39" ht="15" customHeight="1">
      <c r="D63" s="343"/>
      <c r="E63" s="343"/>
      <c r="F63" s="343"/>
      <c r="G63" s="343"/>
      <c r="H63" s="343"/>
      <c r="I63" s="562"/>
      <c r="J63" s="562"/>
      <c r="K63" s="562"/>
      <c r="L63" s="343"/>
      <c r="M63" s="343"/>
      <c r="N63" s="343"/>
      <c r="O63" s="343"/>
      <c r="P63" s="343"/>
      <c r="Q63" s="562"/>
      <c r="R63" s="343"/>
      <c r="S63" s="343"/>
      <c r="T63" s="343"/>
      <c r="AA63" s="273"/>
      <c r="AB63" s="274"/>
      <c r="AC63" s="274"/>
      <c r="AD63" s="274"/>
      <c r="AE63" s="407"/>
      <c r="AF63" s="273"/>
      <c r="AG63" s="273"/>
      <c r="AH63" s="273"/>
      <c r="AI63" s="273"/>
      <c r="AJ63" s="343"/>
      <c r="AK63" s="343"/>
    </row>
    <row r="64" spans="3:39" ht="15" customHeight="1">
      <c r="D64" s="343"/>
      <c r="E64" s="343"/>
      <c r="F64" s="343"/>
      <c r="G64" s="343"/>
      <c r="H64" s="343"/>
      <c r="I64" s="572"/>
      <c r="J64" s="562"/>
      <c r="K64" s="562"/>
      <c r="L64" s="343"/>
      <c r="M64" s="343"/>
      <c r="N64" s="343"/>
      <c r="O64" s="343"/>
      <c r="P64" s="343"/>
      <c r="Q64" s="562"/>
      <c r="R64" s="343"/>
      <c r="S64" s="343"/>
      <c r="T64" s="343"/>
      <c r="AA64" s="273"/>
      <c r="AB64" s="274"/>
      <c r="AC64" s="274"/>
      <c r="AD64" s="274"/>
      <c r="AE64" s="407"/>
      <c r="AF64" s="273"/>
      <c r="AG64" s="273"/>
      <c r="AH64" s="273"/>
      <c r="AI64" s="273"/>
      <c r="AJ64" s="343"/>
      <c r="AK64" s="343"/>
    </row>
    <row r="65" spans="1:37" ht="15" customHeight="1">
      <c r="D65" s="343"/>
      <c r="E65" s="343"/>
      <c r="F65" s="343"/>
      <c r="G65" s="343"/>
      <c r="H65" s="343"/>
      <c r="I65" s="562"/>
      <c r="J65" s="562"/>
      <c r="K65" s="562"/>
      <c r="L65" s="343"/>
      <c r="M65" s="343"/>
      <c r="N65" s="343"/>
      <c r="O65" s="343"/>
      <c r="P65" s="343"/>
      <c r="Q65" s="562"/>
      <c r="R65" s="343"/>
      <c r="S65" s="343"/>
      <c r="T65" s="343"/>
      <c r="AA65" s="273"/>
      <c r="AB65" s="274"/>
      <c r="AC65" s="274"/>
      <c r="AD65" s="274"/>
      <c r="AE65" s="407"/>
      <c r="AF65" s="273"/>
      <c r="AG65" s="273"/>
      <c r="AH65" s="273"/>
      <c r="AI65" s="273"/>
      <c r="AJ65" s="343"/>
      <c r="AK65" s="343"/>
    </row>
    <row r="66" spans="1:37" ht="15" customHeight="1">
      <c r="D66" s="343"/>
      <c r="E66" s="343"/>
      <c r="F66" s="343"/>
      <c r="G66" s="343"/>
      <c r="H66" s="343"/>
      <c r="I66" s="343"/>
      <c r="J66" s="343"/>
      <c r="K66" s="343"/>
      <c r="L66" s="573"/>
      <c r="M66" s="573"/>
      <c r="N66" s="343"/>
      <c r="O66" s="343"/>
      <c r="P66" s="343"/>
      <c r="Q66" s="343"/>
      <c r="R66" s="343"/>
      <c r="S66" s="343"/>
      <c r="T66" s="343"/>
      <c r="AE66" s="408"/>
      <c r="AJ66" s="343"/>
      <c r="AK66" s="343"/>
    </row>
    <row r="67" spans="1:37" ht="15" customHeight="1">
      <c r="AE67" s="408"/>
      <c r="AJ67" s="343"/>
      <c r="AK67" s="343"/>
    </row>
    <row r="68" spans="1:37">
      <c r="AE68" s="408"/>
      <c r="AJ68" s="343"/>
      <c r="AK68" s="343"/>
    </row>
    <row r="69" spans="1:37">
      <c r="AE69" s="408"/>
      <c r="AJ69" s="343"/>
      <c r="AK69" s="343"/>
    </row>
    <row r="70" spans="1:37">
      <c r="AE70" s="409"/>
      <c r="AJ70" s="343"/>
      <c r="AK70" s="343"/>
    </row>
    <row r="71" spans="1:37">
      <c r="A71" s="283"/>
      <c r="B71" s="284"/>
      <c r="AE71" s="410"/>
      <c r="AJ71" s="343"/>
      <c r="AK71" s="343"/>
    </row>
    <row r="72" spans="1:37">
      <c r="AE72" s="409"/>
      <c r="AJ72" s="343"/>
      <c r="AK72" s="343"/>
    </row>
    <row r="73" spans="1:37">
      <c r="AE73" s="409"/>
      <c r="AJ73" s="343"/>
      <c r="AK73" s="343"/>
    </row>
    <row r="74" spans="1:37">
      <c r="AE74" s="387"/>
      <c r="AJ74" s="343"/>
      <c r="AK74" s="343"/>
    </row>
  </sheetData>
  <sheetProtection password="D6C3" sheet="1" selectLockedCells="1"/>
  <mergeCells count="31">
    <mergeCell ref="A2:B2"/>
    <mergeCell ref="C3:F3"/>
    <mergeCell ref="G3:J3"/>
    <mergeCell ref="K3:N3"/>
    <mergeCell ref="I4:I5"/>
    <mergeCell ref="G4:G5"/>
    <mergeCell ref="M4:M5"/>
    <mergeCell ref="C4:C5"/>
    <mergeCell ref="K4:K5"/>
    <mergeCell ref="E4:E5"/>
    <mergeCell ref="P4:P5"/>
    <mergeCell ref="AB4:AB5"/>
    <mergeCell ref="D4:D5"/>
    <mergeCell ref="F4:F5"/>
    <mergeCell ref="R4:T4"/>
    <mergeCell ref="U4:V4"/>
    <mergeCell ref="L4:L5"/>
    <mergeCell ref="Q4:Q5"/>
    <mergeCell ref="X4:X5"/>
    <mergeCell ref="J4:J5"/>
    <mergeCell ref="N4:N5"/>
    <mergeCell ref="H4:H5"/>
    <mergeCell ref="AJ3:AK3"/>
    <mergeCell ref="W4:W5"/>
    <mergeCell ref="Y4:Y5"/>
    <mergeCell ref="AJ4:AK4"/>
    <mergeCell ref="AH4:AI4"/>
    <mergeCell ref="AE4:AE5"/>
    <mergeCell ref="AF4:AF5"/>
    <mergeCell ref="AA4:AA5"/>
    <mergeCell ref="Z4:Z5"/>
  </mergeCells>
  <pageMargins left="0.75" right="0.75" top="1" bottom="1" header="0.5" footer="0.5"/>
  <pageSetup scale="59" fitToWidth="4" orientation="landscape"/>
  <headerFooter alignWithMargins="0">
    <oddFooter>&amp;L&amp;12Steward Fee Setting Methodology&amp;R&amp;12Stewardship Ontario, 
August 24, 2009</oddFooter>
  </headerFooter>
  <colBreaks count="2" manualBreakCount="2">
    <brk id="17" max="1048575" man="1"/>
    <brk id="2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33"/>
    <pageSetUpPr fitToPage="1"/>
  </sheetPr>
  <dimension ref="A1:L54"/>
  <sheetViews>
    <sheetView zoomScale="70" zoomScaleNormal="70" zoomScalePageLayoutView="70" workbookViewId="0">
      <pane xSplit="1" ySplit="6" topLeftCell="B7" activePane="bottomRight" state="frozen"/>
      <selection activeCell="B14" sqref="B14"/>
      <selection pane="topRight" activeCell="B14" sqref="B14"/>
      <selection pane="bottomLeft" activeCell="B14" sqref="B14"/>
      <selection pane="bottomRight" activeCell="B7" sqref="B7"/>
    </sheetView>
  </sheetViews>
  <sheetFormatPr baseColWidth="10" defaultColWidth="8.83203125" defaultRowHeight="18" customHeight="1" x14ac:dyDescent="0"/>
  <cols>
    <col min="1" max="1" width="36.6640625" style="5" customWidth="1"/>
    <col min="2" max="3" width="20.5" style="5" customWidth="1"/>
    <col min="4" max="4" width="4.6640625" style="1" customWidth="1"/>
    <col min="5" max="5" width="19.1640625" style="5" customWidth="1"/>
    <col min="6" max="6" width="5.33203125" style="343" customWidth="1"/>
    <col min="7" max="8" width="17.83203125" style="5" customWidth="1"/>
    <col min="9" max="9" width="5.1640625" style="5" customWidth="1"/>
    <col min="10" max="10" width="5.1640625" style="844" customWidth="1"/>
    <col min="11" max="11" width="8.83203125" style="5"/>
    <col min="12" max="12" width="15" style="5" bestFit="1" customWidth="1"/>
    <col min="13" max="16384" width="8.83203125" style="5"/>
  </cols>
  <sheetData>
    <row r="1" spans="1:12" s="721" customFormat="1" ht="36.75" customHeight="1">
      <c r="A1" s="783" t="s">
        <v>169</v>
      </c>
      <c r="B1" s="865"/>
      <c r="C1" s="866"/>
      <c r="F1" s="720"/>
      <c r="J1" s="852"/>
    </row>
    <row r="2" spans="1:12" s="721" customFormat="1" ht="12.75" customHeight="1">
      <c r="A2" s="719"/>
      <c r="B2" s="865"/>
      <c r="C2" s="867"/>
      <c r="F2" s="720"/>
      <c r="J2" s="852"/>
    </row>
    <row r="3" spans="1:12" s="721" customFormat="1" ht="17.25" customHeight="1">
      <c r="A3" s="797"/>
      <c r="B3" s="865"/>
      <c r="C3" s="867"/>
      <c r="F3" s="771"/>
      <c r="J3" s="852"/>
    </row>
    <row r="4" spans="1:12" ht="18" customHeight="1" thickBot="1">
      <c r="C4" s="864"/>
    </row>
    <row r="5" spans="1:12" s="624" customFormat="1" ht="52.5" customHeight="1" thickBot="1">
      <c r="A5" s="722" t="s">
        <v>111</v>
      </c>
      <c r="B5" s="1108" t="s">
        <v>170</v>
      </c>
      <c r="C5" s="1109"/>
      <c r="D5" s="746"/>
      <c r="E5" s="723" t="s">
        <v>129</v>
      </c>
      <c r="F5" s="802"/>
      <c r="J5" s="853"/>
    </row>
    <row r="6" spans="1:12" s="624" customFormat="1" ht="70.5" customHeight="1">
      <c r="A6" s="724"/>
      <c r="B6" s="725" t="s">
        <v>147</v>
      </c>
      <c r="C6" s="726" t="s">
        <v>148</v>
      </c>
      <c r="D6" s="1"/>
      <c r="E6" s="727" t="s">
        <v>135</v>
      </c>
      <c r="F6" s="803"/>
      <c r="G6" s="807" t="s">
        <v>144</v>
      </c>
      <c r="H6" s="808" t="s">
        <v>145</v>
      </c>
      <c r="I6" s="823"/>
      <c r="J6" s="982"/>
      <c r="K6" s="983"/>
      <c r="L6" s="984" t="s">
        <v>175</v>
      </c>
    </row>
    <row r="7" spans="1:12" s="624" customFormat="1" ht="33" customHeight="1">
      <c r="A7" s="728"/>
      <c r="B7" s="729"/>
      <c r="C7" s="745"/>
      <c r="D7" s="730"/>
      <c r="E7" s="731"/>
      <c r="F7" s="804"/>
      <c r="G7" s="832">
        <f>C8</f>
        <v>0.28000000000000003</v>
      </c>
      <c r="H7" s="833">
        <f>+ROUNDUP((($E$8)*'Sheet 3-2a'!$AF$8+((1-$E$8)*'Sheet 3-2a'!$AG$8*SUM('Sheet 3-2a'!$AF$8:$AF$12)/SUM('Sheet 3-2a'!$AG$8:$AG$12)))/'Sheet 3-2a'!$AG$8*100/1000-G7,2)</f>
        <v>2.15</v>
      </c>
      <c r="I7" s="824"/>
      <c r="J7" s="985"/>
      <c r="K7" s="986"/>
      <c r="L7" s="983"/>
    </row>
    <row r="8" spans="1:12" ht="18" customHeight="1" thickBot="1">
      <c r="A8" s="608" t="s">
        <v>128</v>
      </c>
      <c r="B8" s="733">
        <f>'Sheet 3-2a'!AJ8*100/1000</f>
        <v>1.8673097678135238</v>
      </c>
      <c r="C8" s="831">
        <f>+ROUNDUP(('Sheet 3-2a'!AB8+((E8-1)*'Sheet 3-2a'!AF8+(1-E8)*'Sheet 3-2a'!AG8*'Sheet 3-2a'!AF13/'Sheet 3-2a'!AG13)*('Sheet 3-2a'!AB8/'Sheet 3-2a'!AF8))/'Sheet 3-2a'!AG8*100/1000,2)+((-L8)/VLOOKUP(J8,Parameters!$C$8:$E$30,3,0))*100/1000</f>
        <v>0.28000000000000003</v>
      </c>
      <c r="E8" s="1110">
        <v>0.52249999999999996</v>
      </c>
      <c r="F8" s="805"/>
      <c r="G8" s="809">
        <f>G7*'Sheet 3-2a'!AG8*10</f>
        <v>531921.28444000008</v>
      </c>
      <c r="H8" s="810">
        <f>H7*'Sheet 3-2a'!AG8*10</f>
        <v>4084395.5769499997</v>
      </c>
      <c r="I8" s="825"/>
      <c r="J8" s="987">
        <v>1</v>
      </c>
      <c r="K8" s="988"/>
      <c r="L8" s="989">
        <f>+VLOOKUP(J8,Parameters!$J$7:$M$29,4,0)</f>
        <v>0</v>
      </c>
    </row>
    <row r="9" spans="1:12" ht="18" customHeight="1">
      <c r="A9" s="608" t="s">
        <v>74</v>
      </c>
      <c r="B9" s="733">
        <f>'Sheet 3-2a'!AJ9*100/1000</f>
        <v>1.3978573100232552</v>
      </c>
      <c r="C9" s="831">
        <f>+ROUNDUP((($E$8)*'Sheet 3-2a'!$AF$9+((1-$E$8)*'Sheet 3-2a'!$AG$9*SUM('Sheet 3-2a'!$AF$8:$AF$12)/SUM('Sheet 3-2a'!$AG$8:$AG$12)))/'Sheet 3-2a'!$AG$9*100/1000,2)+((-L9)/VLOOKUP(J9,Parameters!$C$8:$E$30,3,0))*100/1000</f>
        <v>2.19</v>
      </c>
      <c r="E9" s="1111"/>
      <c r="F9" s="806"/>
      <c r="H9" s="844"/>
      <c r="J9" s="987">
        <v>2</v>
      </c>
      <c r="K9" s="988"/>
      <c r="L9" s="989">
        <f>+VLOOKUP(J9,Parameters!$J$7:$M$29,4,0)</f>
        <v>0</v>
      </c>
    </row>
    <row r="10" spans="1:12" ht="18" customHeight="1">
      <c r="A10" s="608" t="s">
        <v>3</v>
      </c>
      <c r="B10" s="733">
        <f>'Sheet 3-2a'!AJ10*100/1000</f>
        <v>2.5573977170572522</v>
      </c>
      <c r="C10" s="831">
        <f>+ROUNDUP((($E$8)*SUM('Sheet 3-2a'!$AF$10:$AF$12)+((1-$E$8)*SUM('Sheet 3-2a'!$AG$10:$AG$12)*SUM('Sheet 3-2a'!$AF$8:$AF$12)/SUM('Sheet 3-2a'!$AG$8:$AG$12)))/SUM('Sheet 3-2a'!$AG$10:AG$12)*100/1000,2)+((-L10)/VLOOKUP(J10,Parameters!$C$8:$E$30,3,0))*100/1000</f>
        <v>4.9399999999999995</v>
      </c>
      <c r="E10" s="1111"/>
      <c r="F10" s="806"/>
      <c r="H10" s="844"/>
      <c r="J10" s="987">
        <v>3</v>
      </c>
      <c r="K10" s="988"/>
      <c r="L10" s="989">
        <f>+VLOOKUP(J10,Parameters!$J$7:$M$29,4,0)</f>
        <v>0</v>
      </c>
    </row>
    <row r="11" spans="1:12" ht="18" customHeight="1">
      <c r="A11" s="608" t="s">
        <v>1</v>
      </c>
      <c r="B11" s="733">
        <f>'Sheet 3-2a'!AJ11*100/1000</f>
        <v>5.265720638133554</v>
      </c>
      <c r="C11" s="831">
        <f>+ROUNDUP((($E$8)*SUM('Sheet 3-2a'!$AF$10:$AF$12)+((1-$E$8)*SUM('Sheet 3-2a'!$AG$10:$AG$12)*SUM('Sheet 3-2a'!$AF$8:$AF$12)/SUM('Sheet 3-2a'!$AG$8:$AG$12)))/SUM('Sheet 3-2a'!$AG$10:AG$12)*100/1000,2)+((-L11)/VLOOKUP(J11,Parameters!$C$8:$E$30,3,0))*100/1000</f>
        <v>4.9399999999999995</v>
      </c>
      <c r="E11" s="1111"/>
      <c r="F11" s="806"/>
      <c r="H11" s="844"/>
      <c r="J11" s="987">
        <v>4</v>
      </c>
      <c r="K11" s="988"/>
      <c r="L11" s="989">
        <f>+VLOOKUP(J11,Parameters!$J$7:$M$29,4,0)</f>
        <v>0</v>
      </c>
    </row>
    <row r="12" spans="1:12" ht="18" customHeight="1">
      <c r="A12" s="608" t="s">
        <v>2</v>
      </c>
      <c r="B12" s="733">
        <f>'Sheet 3-2a'!AJ12*100/1000</f>
        <v>10.507809221869232</v>
      </c>
      <c r="C12" s="831">
        <f>+ROUNDUP((($E$8)*SUM('Sheet 3-2a'!$AF$10:$AF$12)+((1-$E$8)*SUM('Sheet 3-2a'!$AG$10:$AG$12)*SUM('Sheet 3-2a'!$AF$8:$AF$12)/SUM('Sheet 3-2a'!$AG$8:$AG$12)))/SUM('Sheet 3-2a'!$AG$10:AG$12)*100/1000,2)+((-L12)/VLOOKUP(J12,Parameters!$C$8:$E$30,3,0))*100/1000</f>
        <v>4.9399999999999995</v>
      </c>
      <c r="E12" s="1112"/>
      <c r="F12" s="806"/>
      <c r="G12" s="830"/>
      <c r="H12" s="844"/>
      <c r="I12" s="814"/>
      <c r="J12" s="987">
        <v>5</v>
      </c>
      <c r="K12" s="988"/>
      <c r="L12" s="989">
        <f>+VLOOKUP(J12,Parameters!$J$7:$M$29,4,0)</f>
        <v>0</v>
      </c>
    </row>
    <row r="13" spans="1:12" ht="18" customHeight="1">
      <c r="A13" s="609" t="s">
        <v>119</v>
      </c>
      <c r="B13" s="734">
        <f>'Sheet 3-2a'!AJ13*100/1000</f>
        <v>3.0367527886114152</v>
      </c>
      <c r="C13" s="834"/>
      <c r="E13" s="735"/>
      <c r="G13"/>
      <c r="H13" s="814"/>
      <c r="I13" s="814"/>
      <c r="J13" s="987"/>
      <c r="K13" s="988"/>
      <c r="L13" s="987"/>
    </row>
    <row r="14" spans="1:12" ht="18" customHeight="1">
      <c r="A14" s="609"/>
      <c r="B14" s="733"/>
      <c r="C14" s="831"/>
      <c r="E14" s="735"/>
      <c r="G14" s="851"/>
      <c r="H14" s="814"/>
      <c r="I14" s="814"/>
      <c r="J14" s="987"/>
      <c r="K14" s="988"/>
      <c r="L14" s="987"/>
    </row>
    <row r="15" spans="1:12" ht="18" customHeight="1">
      <c r="A15" s="609"/>
      <c r="B15" s="733"/>
      <c r="C15" s="831"/>
      <c r="E15" s="735"/>
      <c r="G15"/>
      <c r="H15" s="814"/>
      <c r="I15" s="814"/>
      <c r="J15" s="987"/>
      <c r="K15" s="988"/>
      <c r="L15" s="987"/>
    </row>
    <row r="16" spans="1:12" ht="18" customHeight="1">
      <c r="A16" s="608" t="s">
        <v>5</v>
      </c>
      <c r="B16" s="733">
        <f>'Sheet 3-2a'!AJ16*100/1000</f>
        <v>17.497299237714781</v>
      </c>
      <c r="C16" s="831">
        <f>+ROUNDUP((($E$16)*SUM('Sheet 3-2a'!$AF$16,'Sheet 3-2a'!$AF$20)+((1-$E$16)*SUM('Sheet 3-2a'!$AG$16,'Sheet 3-2a'!$AG$20)*SUM('Sheet 3-2a'!$AF$16:$AF$20)/SUM('Sheet 3-2a'!$AG$16:$AG$20)))/SUM('Sheet 3-2a'!$AG$16,'Sheet 3-2a'!$AG$20)*100/1000,2)+((-L16)/VLOOKUP(J16,Parameters!$C$8:$E$30,3,0))*100/1000</f>
        <v>15.148524813645755</v>
      </c>
      <c r="E16" s="798">
        <v>1</v>
      </c>
      <c r="F16" s="806"/>
      <c r="G16"/>
      <c r="H16" s="814"/>
      <c r="I16" s="814"/>
      <c r="J16" s="987">
        <v>6</v>
      </c>
      <c r="K16" s="988"/>
      <c r="L16" s="989">
        <f>+VLOOKUP(J16,Parameters!$J$7:$M$29,4,0)</f>
        <v>-3607605.9031397123</v>
      </c>
    </row>
    <row r="17" spans="1:12" ht="18" customHeight="1">
      <c r="A17" s="608" t="s">
        <v>38</v>
      </c>
      <c r="B17" s="733">
        <f>'Sheet 3-2a'!AJ17*100/1000</f>
        <v>16.560968175625028</v>
      </c>
      <c r="C17" s="831">
        <f>+ROUNDUP((($E$16)*SUM('Sheet 3-2a'!$AF$17:$AF$19)+((1-$E$16)*SUM('Sheet 3-2a'!$AG$17:$AG$19)*SUM('Sheet 3-2a'!$AF$16:$AF$20)/SUM('Sheet 3-2a'!$AG$16:$AG$20)))/SUM('Sheet 3-2a'!$AG$17:$AG$19)*100/1000,2)+((-L17)/VLOOKUP(J17,Parameters!$C$8:$E$30,3,0))*100/1000</f>
        <v>17.490000000000002</v>
      </c>
      <c r="E17" s="799"/>
      <c r="F17" s="806"/>
      <c r="G17"/>
      <c r="H17" s="814"/>
      <c r="I17" s="814"/>
      <c r="J17" s="987">
        <v>7</v>
      </c>
      <c r="K17" s="988"/>
      <c r="L17" s="989">
        <f>+VLOOKUP(J17,Parameters!$J$7:$M$29,4,0)</f>
        <v>0</v>
      </c>
    </row>
    <row r="18" spans="1:12" ht="18" customHeight="1">
      <c r="A18" s="608" t="s">
        <v>23</v>
      </c>
      <c r="B18" s="733">
        <f>'Sheet 3-2a'!AJ18*100/1000</f>
        <v>19.979908202645781</v>
      </c>
      <c r="C18" s="831">
        <f>+ROUNDUP((($E$16)*SUM('Sheet 3-2a'!$AF$17:$AF$19)+((1-$E$16)*SUM('Sheet 3-2a'!$AG$17:$AG$19)*SUM('Sheet 3-2a'!$AF$16:$AF$20)/SUM('Sheet 3-2a'!$AG$16:$AG$20)))/SUM('Sheet 3-2a'!$AG$17:$AG$19)*100/1000,2)+((-L18)/VLOOKUP(J18,Parameters!$C$8:$E$30,3,0))*100/1000</f>
        <v>17.490000000000002</v>
      </c>
      <c r="E18" s="799"/>
      <c r="F18" s="806"/>
      <c r="G18" s="851"/>
      <c r="H18" s="814"/>
      <c r="I18" s="814"/>
      <c r="J18" s="987">
        <v>8</v>
      </c>
      <c r="K18" s="988"/>
      <c r="L18" s="989">
        <f>+VLOOKUP(J18,Parameters!$J$7:$M$29,4,0)</f>
        <v>0</v>
      </c>
    </row>
    <row r="19" spans="1:12" ht="18" customHeight="1">
      <c r="A19" s="608" t="s">
        <v>8</v>
      </c>
      <c r="B19" s="733">
        <f>'Sheet 3-2a'!AJ19*100/1000</f>
        <v>9.1938805593720492</v>
      </c>
      <c r="C19" s="831">
        <f>+ROUNDUP((($E$16)*SUM('Sheet 3-2a'!$AF$17:$AF$19)+((1-$E$16)*SUM('Sheet 3-2a'!$AG$17:$AG$19)*SUM('Sheet 3-2a'!$AF$16:$AF$20)/SUM('Sheet 3-2a'!$AG$16:$AG$20)))/SUM('Sheet 3-2a'!$AG$17:$AG$19)*100/1000,2)+((-L19)/VLOOKUP(J19,Parameters!$C$8:$E$30,3,0))*100/1000</f>
        <v>17.490000000000002</v>
      </c>
      <c r="E19" s="799"/>
      <c r="F19" s="806"/>
      <c r="G19"/>
      <c r="H19" s="814"/>
      <c r="I19" s="814"/>
      <c r="J19" s="987">
        <v>9</v>
      </c>
      <c r="K19" s="988"/>
      <c r="L19" s="989">
        <f>+VLOOKUP(J19,Parameters!$J$7:$M$29,4,0)</f>
        <v>0</v>
      </c>
    </row>
    <row r="20" spans="1:12" ht="18" customHeight="1">
      <c r="A20" s="608" t="s">
        <v>6</v>
      </c>
      <c r="B20" s="733">
        <f>'Sheet 3-2a'!AJ20*100/1000</f>
        <v>7.8148232408157412</v>
      </c>
      <c r="C20" s="831">
        <f>+ROUNDUP((($E$16)*SUM('Sheet 3-2a'!$AF$16,'Sheet 3-2a'!$AF$20)+((1-$E$16)*SUM('Sheet 3-2a'!$AG$16,'Sheet 3-2a'!$AG$20)*SUM('Sheet 3-2a'!$AF$16:$AF$20)/SUM('Sheet 3-2a'!$AG$16:$AG$20)))/SUM('Sheet 3-2a'!$AG$16,'Sheet 3-2a'!$AG$20)*100/1000,2)+((-L20)/VLOOKUP(J20,Parameters!$C$8:$E$30,3,0))*100/1000</f>
        <v>13.036910504568199</v>
      </c>
      <c r="E20" s="800"/>
      <c r="F20" s="806"/>
      <c r="G20"/>
      <c r="H20" s="814"/>
      <c r="I20" s="814"/>
      <c r="J20" s="987">
        <v>10</v>
      </c>
      <c r="K20" s="988"/>
      <c r="L20" s="989">
        <f>+VLOOKUP(J20,Parameters!$J$7:$M$29,4,0)</f>
        <v>-1130372.9836937934</v>
      </c>
    </row>
    <row r="21" spans="1:12" ht="18" customHeight="1">
      <c r="A21" s="609" t="s">
        <v>120</v>
      </c>
      <c r="B21" s="734">
        <f>'Sheet 3-2a'!AJ21*100/1000</f>
        <v>13.005434410546181</v>
      </c>
      <c r="C21" s="834"/>
      <c r="E21" s="735"/>
      <c r="G21"/>
      <c r="H21" s="814"/>
      <c r="I21" s="814"/>
      <c r="J21" s="987"/>
      <c r="K21" s="988"/>
      <c r="L21" s="987"/>
    </row>
    <row r="22" spans="1:12" ht="18" customHeight="1">
      <c r="A22" s="608" t="s">
        <v>10</v>
      </c>
      <c r="B22" s="733">
        <f>'Sheet 3-2a'!AJ22*100/1000</f>
        <v>16.532711359521315</v>
      </c>
      <c r="C22" s="831">
        <f>+ROUNDUP((($E$22)*'Sheet 3-2a'!$AF$22+((1-$E$22)*'Sheet 3-2a'!$AG$22*SUM('Sheet 3-2a'!$AF$22:$AF$27)/SUM('Sheet 3-2a'!$AG$22:$AG$27)))/'Sheet 3-2a'!$AG$22*100/1000,2)+((-L22)/VLOOKUP(J22,Parameters!$C$8:$E$30,3,0))*100/1000</f>
        <v>16.540000000000003</v>
      </c>
      <c r="E22" s="798">
        <v>1</v>
      </c>
      <c r="F22" s="806"/>
      <c r="G22"/>
      <c r="H22" s="814"/>
      <c r="I22" s="814"/>
      <c r="J22" s="987">
        <v>11</v>
      </c>
      <c r="K22" s="988"/>
      <c r="L22" s="989">
        <f>+VLOOKUP(J22,Parameters!$J$7:$M$29,4,0)</f>
        <v>0</v>
      </c>
    </row>
    <row r="23" spans="1:12" ht="18" customHeight="1">
      <c r="A23" s="608" t="s">
        <v>11</v>
      </c>
      <c r="B23" s="733">
        <f>'Sheet 3-2a'!AJ23*100/1000</f>
        <v>11.132377907373169</v>
      </c>
      <c r="C23" s="831">
        <f>+ROUNDUP((($E$22)*'Sheet 3-2a'!$AF$23+((1-$E$22)*'Sheet 3-2a'!$AG$23*SUM('Sheet 3-2a'!$AF$22:$AF$27)/SUM('Sheet 3-2a'!$AG$22:$AG$27)))/'Sheet 3-2a'!$AG$23*100/1000,2)+((-L23)/VLOOKUP(J23,Parameters!$C$8:$E$30,3,0))*100/1000</f>
        <v>11.14</v>
      </c>
      <c r="E23" s="799"/>
      <c r="F23" s="806"/>
      <c r="G23"/>
      <c r="H23" s="814"/>
      <c r="I23" s="814"/>
      <c r="J23" s="987">
        <v>12</v>
      </c>
      <c r="K23" s="988"/>
      <c r="L23" s="989">
        <f>+VLOOKUP(J23,Parameters!$J$7:$M$29,4,0)</f>
        <v>0</v>
      </c>
    </row>
    <row r="24" spans="1:12" ht="18" customHeight="1">
      <c r="A24" s="608" t="s">
        <v>12</v>
      </c>
      <c r="B24" s="733">
        <f>'Sheet 3-2a'!AJ24*100/1000</f>
        <v>20.02303269272743</v>
      </c>
      <c r="C24" s="831">
        <f>+ROUNDUP((($E$22)*SUM('Sheet 3-2a'!$AF$24:$AF$27)+((1-$E$22)*SUM('Sheet 3-2a'!$AG$24:$AG$27)*SUM('Sheet 3-2a'!$AF$22:$AF$27)/SUM('Sheet 3-2a'!$AG$22:$AG$27)))/SUM('Sheet 3-2a'!$AG$24:$AG$27)*100/1000,2)+((-L24)/VLOOKUP(J24,Parameters!$C$8:$E$30,3,0))*100/1000</f>
        <v>19.48</v>
      </c>
      <c r="E24" s="799"/>
      <c r="F24" s="806"/>
      <c r="G24"/>
      <c r="H24" s="814"/>
      <c r="I24" s="814"/>
      <c r="J24" s="987">
        <v>13</v>
      </c>
      <c r="K24" s="988"/>
      <c r="L24" s="989">
        <f>+VLOOKUP(J24,Parameters!$J$7:$M$29,4,0)</f>
        <v>0</v>
      </c>
    </row>
    <row r="25" spans="1:12" ht="18" customHeight="1">
      <c r="A25" s="608" t="s">
        <v>22</v>
      </c>
      <c r="B25" s="733">
        <f>'Sheet 3-2a'!AJ25*100/1000</f>
        <v>20.035919943363389</v>
      </c>
      <c r="C25" s="831">
        <f>+ROUNDUP((($E$22)*SUM('Sheet 3-2a'!$AF$24:$AF$27)+((1-$E$22)*SUM('Sheet 3-2a'!$AG$24:$AG$27)*SUM('Sheet 3-2a'!$AF$22:$AF$27)/SUM('Sheet 3-2a'!$AG$22:$AG$27)))/SUM('Sheet 3-2a'!$AG$24:$AG$27)*100/1000,2)+((-L25)/VLOOKUP(J25,Parameters!$C$8:$E$30,3,0))*100/1000</f>
        <v>19.48</v>
      </c>
      <c r="E25" s="799"/>
      <c r="F25" s="806"/>
      <c r="J25" s="987">
        <v>14</v>
      </c>
      <c r="K25" s="988"/>
      <c r="L25" s="989">
        <f>+VLOOKUP(J25,Parameters!$J$7:$M$29,4,0)</f>
        <v>0</v>
      </c>
    </row>
    <row r="26" spans="1:12" ht="18" customHeight="1">
      <c r="A26" s="608" t="s">
        <v>13</v>
      </c>
      <c r="B26" s="733">
        <f>'Sheet 3-2a'!AJ26*100/1000</f>
        <v>24.474029164233659</v>
      </c>
      <c r="C26" s="831">
        <f>+ROUNDUP((($E$22)*SUM('Sheet 3-2a'!$AF$24:$AF$27)+((1-$E$22)*SUM('Sheet 3-2a'!$AG$24:$AG$27)*SUM('Sheet 3-2a'!$AF$22:$AF$27)/SUM('Sheet 3-2a'!$AG$22:$AG$27)))/SUM('Sheet 3-2a'!$AG$24:$AG$27)*100/1000,2)+((-L26)/VLOOKUP(J26,Parameters!$C$8:$E$30,3,0))*100/1000</f>
        <v>19.48</v>
      </c>
      <c r="E26" s="799"/>
      <c r="F26" s="806"/>
      <c r="H26" s="812"/>
      <c r="I26" s="812"/>
      <c r="J26" s="987">
        <v>15</v>
      </c>
      <c r="K26" s="988"/>
      <c r="L26" s="989">
        <f>+VLOOKUP(J26,Parameters!$J$7:$M$29,4,0)</f>
        <v>0</v>
      </c>
    </row>
    <row r="27" spans="1:12" ht="18" customHeight="1">
      <c r="A27" s="608" t="s">
        <v>14</v>
      </c>
      <c r="B27" s="733">
        <f>'Sheet 3-2a'!AJ27*100/1000</f>
        <v>17.536781444668463</v>
      </c>
      <c r="C27" s="831">
        <f>+ROUNDUP((($E$22)*SUM('Sheet 3-2a'!$AF$24:$AF$27)+((1-$E$22)*SUM('Sheet 3-2a'!$AG$24:$AG$27)*SUM('Sheet 3-2a'!$AF$22:$AF$27)/SUM('Sheet 3-2a'!$AG$22:$AG$27)))/SUM('Sheet 3-2a'!$AG$24:$AG$27)*100/1000,2)+((-L27)/VLOOKUP(J27,Parameters!$C$8:$E$30,3,0))*100/1000</f>
        <v>21.571740326549598</v>
      </c>
      <c r="E27" s="800"/>
      <c r="F27" s="806"/>
      <c r="J27" s="987">
        <v>16</v>
      </c>
      <c r="K27" s="988"/>
      <c r="L27" s="989">
        <f>+VLOOKUP(J27,Parameters!$J$7:$M$29,4,0)</f>
        <v>-1182021.8044800181</v>
      </c>
    </row>
    <row r="28" spans="1:12" ht="18" customHeight="1">
      <c r="A28" s="609" t="s">
        <v>121</v>
      </c>
      <c r="B28" s="734">
        <f>'Sheet 3-2a'!AJ28*100/1000</f>
        <v>17.721164726727626</v>
      </c>
      <c r="C28" s="834"/>
      <c r="E28" s="735"/>
      <c r="J28" s="987"/>
      <c r="K28" s="988"/>
      <c r="L28" s="987"/>
    </row>
    <row r="29" spans="1:12" ht="18" customHeight="1">
      <c r="A29" s="608" t="s">
        <v>16</v>
      </c>
      <c r="B29" s="733">
        <f>'Sheet 3-2a'!AJ29*100/1000</f>
        <v>6.1889701750655055</v>
      </c>
      <c r="C29" s="831">
        <f>+ROUNDUP(B32,2)+((-L29)/VLOOKUP(J29,Parameters!$C$8:$E$30,3,0))*100/1000</f>
        <v>6.81</v>
      </c>
      <c r="E29" s="735"/>
      <c r="J29" s="987">
        <v>17</v>
      </c>
      <c r="K29" s="988"/>
      <c r="L29" s="989">
        <f>+VLOOKUP(J29,Parameters!$J$7:$M$29,4,0)</f>
        <v>0</v>
      </c>
    </row>
    <row r="30" spans="1:12" ht="18" customHeight="1">
      <c r="A30" s="608" t="s">
        <v>17</v>
      </c>
      <c r="B30" s="733">
        <f>'Sheet 3-2a'!AJ30*100/1000</f>
        <v>9.1404701448751187</v>
      </c>
      <c r="C30" s="831">
        <f>+ROUNDUP(B32,2)+((-L30)/VLOOKUP(J30,Parameters!$C$8:$E$30,3,0))*100/1000</f>
        <v>6.81</v>
      </c>
      <c r="E30" s="735"/>
      <c r="J30" s="987">
        <v>18</v>
      </c>
      <c r="K30" s="988"/>
      <c r="L30" s="989">
        <f>+VLOOKUP(J30,Parameters!$J$7:$M$29,4,0)</f>
        <v>0</v>
      </c>
    </row>
    <row r="31" spans="1:12" ht="18" customHeight="1">
      <c r="A31" s="608" t="s">
        <v>18</v>
      </c>
      <c r="B31" s="733">
        <f>'Sheet 3-2a'!AJ31*100/1000</f>
        <v>10.054541757347877</v>
      </c>
      <c r="C31" s="831">
        <f>+ROUNDUP(B32,2)+((-L31)/VLOOKUP(J31,Parameters!$C$8:$E$30,3,0))*100/1000</f>
        <v>6.81</v>
      </c>
      <c r="E31" s="735"/>
      <c r="J31" s="987">
        <v>19</v>
      </c>
      <c r="K31" s="988"/>
      <c r="L31" s="989">
        <f>+VLOOKUP(J31,Parameters!$J$7:$M$29,4,0)</f>
        <v>0</v>
      </c>
    </row>
    <row r="32" spans="1:12" ht="18" customHeight="1">
      <c r="A32" s="609" t="s">
        <v>122</v>
      </c>
      <c r="B32" s="734">
        <f>'Sheet 3-2a'!AJ32*100/1000</f>
        <v>6.8039081349453987</v>
      </c>
      <c r="C32" s="834"/>
      <c r="E32" s="735"/>
      <c r="J32" s="987"/>
      <c r="K32" s="988"/>
      <c r="L32" s="987"/>
    </row>
    <row r="33" spans="1:12" ht="18" customHeight="1">
      <c r="A33" s="608" t="s">
        <v>94</v>
      </c>
      <c r="B33" s="733">
        <f>'Sheet 3-2a'!AJ33*100/1000</f>
        <v>-12.384114932846281</v>
      </c>
      <c r="C33" s="831">
        <f>+ROUNDUP(B33,2)+((-L33)/VLOOKUP(J33,Parameters!$C$8:$E$30,3,0))*100/1000</f>
        <v>-12.39</v>
      </c>
      <c r="E33" s="735"/>
      <c r="J33" s="987">
        <v>20</v>
      </c>
      <c r="K33" s="988"/>
      <c r="L33" s="989">
        <f>+VLOOKUP(J33,Parameters!$J$7:$M$29,4,0)</f>
        <v>0</v>
      </c>
    </row>
    <row r="34" spans="1:12" ht="18" customHeight="1">
      <c r="A34" s="608" t="s">
        <v>95</v>
      </c>
      <c r="B34" s="733">
        <f>'Sheet 3-2a'!AJ34*100/1000</f>
        <v>8.6669225149551679</v>
      </c>
      <c r="C34" s="831">
        <f>+ROUNDUP(B34,2)+((-L34)/VLOOKUP(J34,Parameters!$C$8:$E$30,3,0))*100/1000</f>
        <v>8.67</v>
      </c>
      <c r="E34" s="735"/>
      <c r="J34" s="987">
        <v>21</v>
      </c>
      <c r="K34" s="988"/>
      <c r="L34" s="989">
        <f>+VLOOKUP(J34,Parameters!$J$7:$M$29,4,0)</f>
        <v>0</v>
      </c>
    </row>
    <row r="35" spans="1:12" ht="18" customHeight="1">
      <c r="A35" s="609" t="s">
        <v>123</v>
      </c>
      <c r="B35" s="734">
        <f>'Sheet 3-2a'!AJ35*100/1000</f>
        <v>-9.7531298480933231</v>
      </c>
      <c r="C35" s="834"/>
      <c r="E35" s="735"/>
      <c r="J35" s="987"/>
      <c r="K35" s="988"/>
      <c r="L35" s="987"/>
    </row>
    <row r="36" spans="1:12" ht="18" customHeight="1">
      <c r="A36" s="608" t="s">
        <v>97</v>
      </c>
      <c r="B36" s="733">
        <f>'Sheet 3-2a'!AJ36*100/1000</f>
        <v>7.796034032044397</v>
      </c>
      <c r="C36" s="831">
        <f>+ROUNDUP(B36,2)+((-L36)/VLOOKUP(J36,Parameters!$C$8:$E$30,3,0))*100/1000</f>
        <v>7.8</v>
      </c>
      <c r="E36" s="735"/>
      <c r="J36" s="987">
        <v>22</v>
      </c>
      <c r="K36" s="988"/>
      <c r="L36" s="989">
        <f>+VLOOKUP(J36,Parameters!$J$7:$M$29,4,0)</f>
        <v>0</v>
      </c>
    </row>
    <row r="37" spans="1:12" ht="18" customHeight="1">
      <c r="A37" s="608" t="s">
        <v>64</v>
      </c>
      <c r="B37" s="733">
        <f>'Sheet 3-2a'!AJ37*100/1000</f>
        <v>7.3076790942150867</v>
      </c>
      <c r="C37" s="831">
        <f>+ROUNDUP(B37,2)+((-L37)/VLOOKUP(J37,Parameters!$C$8:$E$30,3,0))*100/1000</f>
        <v>7.31</v>
      </c>
      <c r="E37" s="735"/>
      <c r="J37" s="987">
        <v>23</v>
      </c>
      <c r="K37" s="988"/>
      <c r="L37" s="989">
        <f>+VLOOKUP(J37,Parameters!$J$7:$M$29,4,0)</f>
        <v>0</v>
      </c>
    </row>
    <row r="38" spans="1:12" ht="18" customHeight="1" thickBot="1">
      <c r="A38" s="695" t="s">
        <v>124</v>
      </c>
      <c r="B38" s="736">
        <f>'Sheet 3-2a'!AJ38*100/1000</f>
        <v>7.6803612708826243</v>
      </c>
      <c r="C38" s="835"/>
      <c r="E38" s="737"/>
      <c r="J38" s="987"/>
      <c r="K38" s="988"/>
      <c r="L38" s="987"/>
    </row>
    <row r="39" spans="1:12" ht="18" customHeight="1">
      <c r="A39" s="610"/>
      <c r="B39" s="732"/>
      <c r="C39" s="732"/>
      <c r="J39" s="987"/>
      <c r="K39" s="988"/>
      <c r="L39" s="990">
        <f>+SUM(L8:L37)</f>
        <v>-5920000.6913135238</v>
      </c>
    </row>
    <row r="40" spans="1:12" s="738" customFormat="1" ht="24" customHeight="1">
      <c r="D40" s="1"/>
      <c r="F40" s="739"/>
      <c r="J40" s="991"/>
      <c r="K40" s="992"/>
      <c r="L40" s="992"/>
    </row>
    <row r="41" spans="1:12" s="738" customFormat="1" ht="24" customHeight="1">
      <c r="D41" s="1"/>
      <c r="F41" s="739"/>
      <c r="J41" s="993"/>
      <c r="K41" s="739"/>
      <c r="L41" s="739"/>
    </row>
    <row r="42" spans="1:12" s="738" customFormat="1" ht="24" customHeight="1">
      <c r="D42" s="1"/>
      <c r="F42" s="739"/>
      <c r="J42" s="854"/>
    </row>
    <row r="43" spans="1:12" s="738" customFormat="1" ht="24" customHeight="1">
      <c r="B43" s="740"/>
      <c r="D43" s="1"/>
      <c r="F43" s="739"/>
      <c r="J43" s="854"/>
    </row>
    <row r="44" spans="1:12" s="738" customFormat="1" ht="24" customHeight="1">
      <c r="B44" s="740"/>
      <c r="D44" s="1"/>
      <c r="F44" s="739"/>
      <c r="J44" s="854"/>
    </row>
    <row r="45" spans="1:12" s="738" customFormat="1" ht="24" customHeight="1">
      <c r="B45" s="740"/>
      <c r="D45" s="1"/>
      <c r="F45" s="739"/>
      <c r="J45" s="854"/>
    </row>
    <row r="46" spans="1:12" s="738" customFormat="1" ht="24" customHeight="1">
      <c r="B46" s="740"/>
      <c r="D46" s="1"/>
      <c r="F46" s="739"/>
      <c r="J46" s="854"/>
    </row>
    <row r="47" spans="1:12" s="738" customFormat="1" ht="24" customHeight="1">
      <c r="D47" s="1"/>
      <c r="F47" s="739"/>
      <c r="J47" s="854"/>
    </row>
    <row r="48" spans="1:12" s="738" customFormat="1" ht="24" customHeight="1">
      <c r="D48" s="1"/>
      <c r="F48" s="739"/>
      <c r="J48" s="854"/>
    </row>
    <row r="49" spans="5:6" ht="18" customHeight="1">
      <c r="E49" s="738"/>
      <c r="F49" s="739"/>
    </row>
    <row r="50" spans="5:6" ht="18" customHeight="1">
      <c r="E50" s="738"/>
      <c r="F50" s="739"/>
    </row>
    <row r="51" spans="5:6" ht="18" customHeight="1">
      <c r="E51" s="738"/>
      <c r="F51" s="739"/>
    </row>
    <row r="52" spans="5:6" ht="18" customHeight="1">
      <c r="E52" s="738"/>
      <c r="F52" s="739"/>
    </row>
    <row r="53" spans="5:6" ht="18" customHeight="1">
      <c r="E53" s="738"/>
      <c r="F53" s="739"/>
    </row>
    <row r="54" spans="5:6" ht="18" customHeight="1">
      <c r="E54" s="738"/>
      <c r="F54" s="739"/>
    </row>
  </sheetData>
  <sheetProtection password="D6C3" sheet="1" selectLockedCells="1"/>
  <mergeCells count="2">
    <mergeCell ref="B5:C5"/>
    <mergeCell ref="E8:E12"/>
  </mergeCells>
  <pageMargins left="0.75" right="0.75" top="1" bottom="1" header="0.5" footer="0.5"/>
  <pageSetup scale="58" orientation="landscape"/>
  <headerFooter alignWithMargins="0">
    <oddFooter>&amp;L&amp;12Steward Fee Setting Methodology&amp;R&amp;12Stewardship Ontario, 
August 24, 2009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A2:AD45"/>
  <sheetViews>
    <sheetView showGridLines="0" tabSelected="1" zoomScale="80" zoomScaleNormal="80" zoomScalePageLayoutView="80" workbookViewId="0">
      <selection activeCell="B4" sqref="B4"/>
    </sheetView>
  </sheetViews>
  <sheetFormatPr baseColWidth="10" defaultColWidth="8.83203125" defaultRowHeight="18" customHeight="1" x14ac:dyDescent="0"/>
  <cols>
    <col min="1" max="1" width="41.5" style="999" bestFit="1" customWidth="1"/>
    <col min="2" max="5" width="16.6640625" style="999" customWidth="1"/>
    <col min="6" max="6" width="5.6640625" style="999" customWidth="1"/>
    <col min="7" max="8" width="16.6640625" style="999" customWidth="1"/>
    <col min="9" max="9" width="13.5" style="999" bestFit="1" customWidth="1"/>
    <col min="10" max="10" width="13.83203125" style="999" bestFit="1" customWidth="1"/>
    <col min="11" max="11" width="5.6640625" style="999" customWidth="1"/>
    <col min="12" max="15" width="15.33203125" style="1000" customWidth="1"/>
    <col min="16" max="16384" width="8.83203125" style="999"/>
  </cols>
  <sheetData>
    <row r="2" spans="1:30" ht="18" customHeight="1">
      <c r="A2" s="998" t="s">
        <v>200</v>
      </c>
    </row>
    <row r="3" spans="1:30" ht="18" customHeight="1">
      <c r="A3" s="1001" t="s">
        <v>201</v>
      </c>
      <c r="B3" s="1002">
        <v>0.45</v>
      </c>
      <c r="D3" s="1003"/>
      <c r="E3" s="1003"/>
    </row>
    <row r="4" spans="1:30" ht="18" customHeight="1">
      <c r="A4" s="1001" t="s">
        <v>202</v>
      </c>
      <c r="B4" s="1002">
        <v>0.45</v>
      </c>
      <c r="D4" s="1003"/>
      <c r="E4" s="1003"/>
    </row>
    <row r="5" spans="1:30" ht="18" customHeight="1">
      <c r="A5" s="1001" t="s">
        <v>203</v>
      </c>
      <c r="B5" s="1002">
        <v>0.1</v>
      </c>
      <c r="D5" s="1003"/>
      <c r="E5" s="1003"/>
    </row>
    <row r="6" spans="1:30" ht="18" customHeight="1">
      <c r="A6" s="1004"/>
      <c r="B6" s="1003" t="str">
        <f>+IF(SUM(B3:B5)&lt;&gt;1,"check","ok")</f>
        <v>ok</v>
      </c>
      <c r="D6" s="1003"/>
      <c r="E6" s="1003"/>
      <c r="H6" s="1005"/>
    </row>
    <row r="7" spans="1:30" ht="14">
      <c r="B7" s="1005"/>
      <c r="C7" s="1006"/>
      <c r="D7" s="1006"/>
      <c r="E7" s="1006"/>
      <c r="G7" s="1020"/>
      <c r="H7" s="1006"/>
    </row>
    <row r="8" spans="1:30" ht="14">
      <c r="B8" s="1005"/>
      <c r="C8" s="1006"/>
      <c r="D8" s="1006"/>
      <c r="E8" s="1006"/>
      <c r="G8" s="1005"/>
      <c r="H8" s="1006"/>
    </row>
    <row r="9" spans="1:30" s="1007" customFormat="1" ht="39" customHeight="1">
      <c r="A9" s="934" t="s">
        <v>191</v>
      </c>
      <c r="B9" s="1113" t="s">
        <v>195</v>
      </c>
      <c r="C9" s="1114"/>
      <c r="D9" s="997"/>
      <c r="E9" s="997"/>
      <c r="F9" s="997"/>
      <c r="G9" s="1113" t="s">
        <v>196</v>
      </c>
      <c r="H9" s="1114"/>
      <c r="I9" s="997"/>
      <c r="J9" s="997"/>
      <c r="K9" s="997"/>
      <c r="L9" s="1113" t="s">
        <v>199</v>
      </c>
      <c r="M9" s="1115"/>
      <c r="N9" s="1115"/>
      <c r="O9" s="1114"/>
    </row>
    <row r="10" spans="1:30" s="1007" customFormat="1" ht="39">
      <c r="A10" s="1008" t="s">
        <v>111</v>
      </c>
      <c r="B10" s="995" t="s">
        <v>204</v>
      </c>
      <c r="C10" s="995" t="s">
        <v>209</v>
      </c>
      <c r="D10" s="995" t="s">
        <v>197</v>
      </c>
      <c r="E10" s="995" t="s">
        <v>198</v>
      </c>
      <c r="F10" s="997"/>
      <c r="G10" s="995" t="s">
        <v>204</v>
      </c>
      <c r="H10" s="995" t="s">
        <v>209</v>
      </c>
      <c r="I10" s="995" t="s">
        <v>197</v>
      </c>
      <c r="J10" s="995" t="s">
        <v>198</v>
      </c>
      <c r="K10" s="997"/>
      <c r="L10" s="995" t="s">
        <v>205</v>
      </c>
      <c r="M10" s="995" t="s">
        <v>206</v>
      </c>
      <c r="N10" s="995" t="s">
        <v>207</v>
      </c>
      <c r="O10" s="995" t="s">
        <v>208</v>
      </c>
    </row>
    <row r="11" spans="1:30" s="1007" customFormat="1" ht="13">
      <c r="A11" s="1009"/>
      <c r="B11" s="996"/>
      <c r="C11" s="996"/>
      <c r="D11" s="996"/>
      <c r="E11" s="996"/>
      <c r="F11" s="997"/>
      <c r="G11" s="999"/>
      <c r="H11" s="997"/>
      <c r="I11" s="997"/>
      <c r="J11" s="997"/>
      <c r="K11" s="997"/>
      <c r="L11" s="997"/>
      <c r="M11" s="997"/>
      <c r="N11" s="997"/>
      <c r="O11" s="997"/>
    </row>
    <row r="12" spans="1:30" ht="18" customHeight="1">
      <c r="A12" s="1010" t="s">
        <v>96</v>
      </c>
      <c r="B12" s="1021">
        <v>0.33</v>
      </c>
      <c r="C12" s="1021">
        <f>+'Sheet 4-2a'!C8</f>
        <v>0.28000000000000003</v>
      </c>
      <c r="D12" s="1021">
        <f>+C12-B12</f>
        <v>-4.9999999999999989E-2</v>
      </c>
      <c r="E12" s="1022">
        <f>+C12/B12-1</f>
        <v>-0.15151515151515149</v>
      </c>
      <c r="F12" s="1023"/>
      <c r="G12" s="1021">
        <v>0.21215285406806414</v>
      </c>
      <c r="H12" s="1021">
        <f>+'Sheet 3-2a'!AB8/'Sheet 3-2a'!AG8/10</f>
        <v>0.21215285406806411</v>
      </c>
      <c r="I12" s="1021">
        <f>+H12-G12</f>
        <v>0</v>
      </c>
      <c r="J12" s="1022">
        <f>+H12/G12-1</f>
        <v>0</v>
      </c>
      <c r="K12" s="1023"/>
      <c r="L12" s="1021">
        <f>+G12-B12</f>
        <v>-0.11784714593193588</v>
      </c>
      <c r="M12" s="1022">
        <f>+G12/B12-1</f>
        <v>-0.35711256343010866</v>
      </c>
      <c r="N12" s="1021">
        <f>+H12-C12</f>
        <v>-6.7847145931935915E-2</v>
      </c>
      <c r="O12" s="1022">
        <f>+H12/C12-1</f>
        <v>-0.2423112354711997</v>
      </c>
      <c r="P12" s="1012"/>
      <c r="Q12" s="1012"/>
      <c r="R12" s="1012"/>
      <c r="S12" s="1012"/>
      <c r="T12" s="1012"/>
      <c r="U12" s="1012"/>
      <c r="V12" s="1012"/>
      <c r="W12" s="1012"/>
      <c r="X12" s="1012"/>
      <c r="Y12" s="1012"/>
      <c r="Z12" s="1012"/>
      <c r="AA12" s="1012"/>
      <c r="AB12" s="1012"/>
      <c r="AC12" s="1012"/>
      <c r="AD12" s="1012"/>
    </row>
    <row r="13" spans="1:30" ht="18" customHeight="1">
      <c r="A13" s="1013" t="s">
        <v>74</v>
      </c>
      <c r="B13" s="1024">
        <v>2.0199999999999996</v>
      </c>
      <c r="C13" s="1024">
        <f>+'Sheet 4-2a'!C9</f>
        <v>2.19</v>
      </c>
      <c r="D13" s="1024">
        <f>+C13-B13</f>
        <v>0.17000000000000037</v>
      </c>
      <c r="E13" s="1025">
        <f>+C13/B13-1</f>
        <v>8.4158415841584455E-2</v>
      </c>
      <c r="F13" s="1023"/>
      <c r="G13" s="1024">
        <v>1.0874957133862546</v>
      </c>
      <c r="H13" s="1024">
        <f>+'Sheet 3-2a'!AK9</f>
        <v>1.3978573100232552</v>
      </c>
      <c r="I13" s="1024">
        <f>+H13-G13</f>
        <v>0.31036159663700058</v>
      </c>
      <c r="J13" s="1025">
        <f>+H13/G13-1</f>
        <v>0.28539109884911062</v>
      </c>
      <c r="K13" s="1023"/>
      <c r="L13" s="1024">
        <f>+G13-B13</f>
        <v>-0.93250428661374496</v>
      </c>
      <c r="M13" s="1025">
        <f>+G13/B13-1</f>
        <v>-0.46163578545234907</v>
      </c>
      <c r="N13" s="1024">
        <f>+H13-C13</f>
        <v>-0.79214268997674475</v>
      </c>
      <c r="O13" s="1025">
        <f>+H13/C13-1</f>
        <v>-0.36170899085696107</v>
      </c>
      <c r="P13" s="1012"/>
      <c r="Q13" s="1012"/>
      <c r="R13" s="1012"/>
      <c r="S13" s="1012"/>
      <c r="T13" s="1012"/>
      <c r="U13" s="1012"/>
      <c r="V13" s="1012"/>
      <c r="W13" s="1012"/>
      <c r="X13" s="1012"/>
      <c r="Y13" s="1012"/>
      <c r="Z13" s="1012"/>
      <c r="AA13" s="1012"/>
      <c r="AB13" s="1012"/>
      <c r="AC13" s="1012"/>
      <c r="AD13" s="1012"/>
    </row>
    <row r="14" spans="1:30" ht="18" customHeight="1">
      <c r="A14" s="1013" t="s">
        <v>3</v>
      </c>
      <c r="B14" s="1024">
        <v>5.45</v>
      </c>
      <c r="C14" s="1024">
        <f>+'Sheet 4-2a'!C10</f>
        <v>4.9399999999999995</v>
      </c>
      <c r="D14" s="1024">
        <f>+C14-B14</f>
        <v>-0.51000000000000068</v>
      </c>
      <c r="E14" s="1025">
        <f>+C14/B14-1</f>
        <v>-9.3577981651376319E-2</v>
      </c>
      <c r="F14" s="1023"/>
      <c r="G14" s="1024">
        <v>1.9862668355751443</v>
      </c>
      <c r="H14" s="1024">
        <f>+'Sheet 3-2a'!AK10</f>
        <v>2.5573977170572517</v>
      </c>
      <c r="I14" s="1024">
        <f>+H14-G14</f>
        <v>0.57113088148210744</v>
      </c>
      <c r="J14" s="1025">
        <f>+H14/G14-1</f>
        <v>0.28753985680716987</v>
      </c>
      <c r="K14" s="1023"/>
      <c r="L14" s="1024">
        <f>+G14-B14</f>
        <v>-3.4637331644248559</v>
      </c>
      <c r="M14" s="1025">
        <f>+G14/B14-1</f>
        <v>-0.63554736961923952</v>
      </c>
      <c r="N14" s="1024">
        <f>+H14-C14</f>
        <v>-2.3826022829427478</v>
      </c>
      <c r="O14" s="1025">
        <f>+H14/C14-1</f>
        <v>-0.48230815444185182</v>
      </c>
      <c r="P14" s="1012"/>
      <c r="Q14" s="1012"/>
      <c r="R14" s="1012"/>
      <c r="S14" s="1012"/>
      <c r="T14" s="1012"/>
      <c r="U14" s="1012"/>
      <c r="V14" s="1012"/>
      <c r="W14" s="1012"/>
      <c r="X14" s="1012"/>
      <c r="Y14" s="1012"/>
      <c r="Z14" s="1012"/>
      <c r="AA14" s="1012"/>
      <c r="AB14" s="1012"/>
      <c r="AC14" s="1012"/>
      <c r="AD14" s="1012"/>
    </row>
    <row r="15" spans="1:30" ht="18" customHeight="1">
      <c r="A15" s="1013" t="s">
        <v>1</v>
      </c>
      <c r="B15" s="1024">
        <v>5.45</v>
      </c>
      <c r="C15" s="1024">
        <f>+'Sheet 4-2a'!C11</f>
        <v>4.9399999999999995</v>
      </c>
      <c r="D15" s="1024">
        <f>+C15-B15</f>
        <v>-0.51000000000000068</v>
      </c>
      <c r="E15" s="1025">
        <f>+C15/B15-1</f>
        <v>-9.3577981651376319E-2</v>
      </c>
      <c r="F15" s="1023"/>
      <c r="G15" s="1024">
        <v>4.3413081885251854</v>
      </c>
      <c r="H15" s="1024">
        <f>+'Sheet 3-2a'!AK11</f>
        <v>5.265720638133554</v>
      </c>
      <c r="I15" s="1024">
        <f>+H15-G15</f>
        <v>0.92441244960836855</v>
      </c>
      <c r="J15" s="1025">
        <f>+H15/G15-1</f>
        <v>0.21293407642695072</v>
      </c>
      <c r="K15" s="1023"/>
      <c r="L15" s="1024">
        <f>+G15-B15</f>
        <v>-1.1086918114748148</v>
      </c>
      <c r="M15" s="1025">
        <f>+G15/B15-1</f>
        <v>-0.20342969017886514</v>
      </c>
      <c r="N15" s="1024">
        <f>+H15-C15</f>
        <v>0.32572063813355445</v>
      </c>
      <c r="O15" s="1025">
        <f>+H15/C15-1</f>
        <v>6.593535184889765E-2</v>
      </c>
      <c r="P15" s="1012"/>
      <c r="Q15" s="1012"/>
      <c r="R15" s="1012"/>
      <c r="S15" s="1012"/>
      <c r="T15" s="1012"/>
      <c r="U15" s="1012"/>
      <c r="V15" s="1012"/>
      <c r="W15" s="1012"/>
      <c r="X15" s="1012"/>
      <c r="Y15" s="1012"/>
      <c r="Z15" s="1012"/>
      <c r="AA15" s="1012"/>
      <c r="AB15" s="1012"/>
      <c r="AC15" s="1012"/>
      <c r="AD15" s="1012"/>
    </row>
    <row r="16" spans="1:30" ht="18" customHeight="1">
      <c r="A16" s="1014" t="s">
        <v>2</v>
      </c>
      <c r="B16" s="1026">
        <v>5.45</v>
      </c>
      <c r="C16" s="1026">
        <f>+'Sheet 4-2a'!C12</f>
        <v>4.9399999999999995</v>
      </c>
      <c r="D16" s="1026">
        <f>+C16-B16</f>
        <v>-0.51000000000000068</v>
      </c>
      <c r="E16" s="1027">
        <f>+C16/B16-1</f>
        <v>-9.3577981651376319E-2</v>
      </c>
      <c r="F16" s="1023"/>
      <c r="G16" s="1026">
        <v>13.157718926838399</v>
      </c>
      <c r="H16" s="1026">
        <f>+'Sheet 3-2a'!AK12</f>
        <v>10.507809221869232</v>
      </c>
      <c r="I16" s="1026">
        <f>+H16-G16</f>
        <v>-2.6499097049691667</v>
      </c>
      <c r="J16" s="1027">
        <f>+H16/G16-1</f>
        <v>-0.20139582854016014</v>
      </c>
      <c r="K16" s="1023"/>
      <c r="L16" s="1026">
        <f>+G16-B16</f>
        <v>7.7077189268383988</v>
      </c>
      <c r="M16" s="1027">
        <f>+G16/B16-1</f>
        <v>1.4142603535483298</v>
      </c>
      <c r="N16" s="1026">
        <f>+H16-C16</f>
        <v>5.5678092218692328</v>
      </c>
      <c r="O16" s="1027">
        <f>+H16/C16-1</f>
        <v>1.1270868870180633</v>
      </c>
      <c r="P16" s="1012"/>
      <c r="Q16" s="1012"/>
      <c r="R16" s="1012"/>
      <c r="S16" s="1012"/>
      <c r="T16" s="1012"/>
      <c r="U16" s="1012"/>
      <c r="V16" s="1012"/>
      <c r="W16" s="1012"/>
      <c r="X16" s="1012"/>
      <c r="Y16" s="1012"/>
      <c r="Z16" s="1012"/>
      <c r="AA16" s="1012"/>
      <c r="AB16" s="1012"/>
      <c r="AC16" s="1012"/>
      <c r="AD16" s="1012"/>
    </row>
    <row r="17" spans="1:30" ht="13.5" customHeight="1">
      <c r="A17" s="1011"/>
      <c r="B17" s="1028"/>
      <c r="C17" s="1028"/>
      <c r="D17" s="1028"/>
      <c r="E17" s="1028"/>
      <c r="F17" s="1023"/>
      <c r="G17" s="1028"/>
      <c r="H17" s="1028"/>
      <c r="I17" s="1028"/>
      <c r="J17" s="1028"/>
      <c r="K17" s="1023"/>
      <c r="L17" s="1028"/>
      <c r="M17" s="1028"/>
      <c r="N17" s="1028"/>
      <c r="O17" s="1028"/>
      <c r="P17" s="1012"/>
      <c r="Q17" s="1012"/>
      <c r="R17" s="1012"/>
      <c r="S17" s="1012"/>
      <c r="T17" s="1012"/>
      <c r="U17" s="1012"/>
      <c r="V17" s="1012"/>
      <c r="W17" s="1012"/>
      <c r="X17" s="1012"/>
      <c r="Y17" s="1012"/>
      <c r="Z17" s="1012"/>
      <c r="AA17" s="1012"/>
      <c r="AB17" s="1012"/>
      <c r="AC17" s="1012"/>
      <c r="AD17" s="1012"/>
    </row>
    <row r="18" spans="1:30" ht="18" customHeight="1">
      <c r="A18" s="1010" t="s">
        <v>5</v>
      </c>
      <c r="B18" s="1021">
        <v>11.448524813645756</v>
      </c>
      <c r="C18" s="1021">
        <f>+'Sheet 4-2a'!C16</f>
        <v>15.148524813645755</v>
      </c>
      <c r="D18" s="1021">
        <f>+C18-B18</f>
        <v>3.6999999999999993</v>
      </c>
      <c r="E18" s="1022">
        <f>+C18/B18-1</f>
        <v>0.32318574316141468</v>
      </c>
      <c r="F18" s="1023"/>
      <c r="G18" s="1021">
        <v>11.894032898470437</v>
      </c>
      <c r="H18" s="1021">
        <f>+'Sheet 3-2a'!AK16</f>
        <v>17.497299237714781</v>
      </c>
      <c r="I18" s="1021">
        <f>+H18-G18</f>
        <v>5.6032663392443443</v>
      </c>
      <c r="J18" s="1022">
        <f>+H18/G18-1</f>
        <v>0.47109894407345387</v>
      </c>
      <c r="K18" s="1023"/>
      <c r="L18" s="1021">
        <f>+G18-B18</f>
        <v>0.44550808482468085</v>
      </c>
      <c r="M18" s="1022">
        <f>+G18/B18-1</f>
        <v>3.891401661580618E-2</v>
      </c>
      <c r="N18" s="1021">
        <f>+H18-C18</f>
        <v>2.3487744240690258</v>
      </c>
      <c r="O18" s="1022">
        <f>+H18/C18-1</f>
        <v>0.155049712956423</v>
      </c>
      <c r="P18" s="1012"/>
      <c r="Q18" s="1012"/>
      <c r="R18" s="1012"/>
      <c r="S18" s="1012"/>
      <c r="T18" s="1012"/>
      <c r="U18" s="1012"/>
      <c r="V18" s="1012"/>
      <c r="W18" s="1012"/>
      <c r="X18" s="1012"/>
      <c r="Y18" s="1012"/>
      <c r="Z18" s="1012"/>
      <c r="AA18" s="1012"/>
      <c r="AB18" s="1012"/>
      <c r="AC18" s="1012"/>
      <c r="AD18" s="1012"/>
    </row>
    <row r="19" spans="1:30" ht="18" customHeight="1">
      <c r="A19" s="1013" t="s">
        <v>38</v>
      </c>
      <c r="B19" s="1024">
        <v>18.760000000000002</v>
      </c>
      <c r="C19" s="1024">
        <f>+'Sheet 4-2a'!C17</f>
        <v>17.490000000000002</v>
      </c>
      <c r="D19" s="1024">
        <f>+C19-B19</f>
        <v>-1.2699999999999996</v>
      </c>
      <c r="E19" s="1025">
        <f>+C19/B19-1</f>
        <v>-6.7697228144989352E-2</v>
      </c>
      <c r="F19" s="1023"/>
      <c r="G19" s="1024">
        <v>15.698365909174287</v>
      </c>
      <c r="H19" s="1024">
        <f>+'Sheet 3-2a'!AK17</f>
        <v>16.560968175625028</v>
      </c>
      <c r="I19" s="1024">
        <f>+H19-G19</f>
        <v>0.86260226645074134</v>
      </c>
      <c r="J19" s="1025">
        <f>+H19/G19-1</f>
        <v>5.4948538684948645E-2</v>
      </c>
      <c r="K19" s="1023"/>
      <c r="L19" s="1024">
        <f>+G19-B19</f>
        <v>-3.0616340908257147</v>
      </c>
      <c r="M19" s="1025">
        <f>+G19/B19-1</f>
        <v>-0.16320011145126412</v>
      </c>
      <c r="N19" s="1024">
        <f>+H19-C19</f>
        <v>-0.92903182437497378</v>
      </c>
      <c r="O19" s="1025">
        <f>+H19/C19-1</f>
        <v>-5.3117885899083728E-2</v>
      </c>
      <c r="P19" s="1012"/>
      <c r="Q19" s="1012"/>
      <c r="R19" s="1012"/>
      <c r="S19" s="1012"/>
      <c r="T19" s="1012"/>
      <c r="U19" s="1012"/>
      <c r="V19" s="1012"/>
      <c r="W19" s="1012"/>
      <c r="X19" s="1012"/>
      <c r="Y19" s="1012"/>
      <c r="Z19" s="1012"/>
      <c r="AA19" s="1012"/>
      <c r="AB19" s="1012"/>
      <c r="AC19" s="1012"/>
      <c r="AD19" s="1012"/>
    </row>
    <row r="20" spans="1:30" ht="18" customHeight="1">
      <c r="A20" s="1013" t="s">
        <v>23</v>
      </c>
      <c r="B20" s="1024">
        <v>18.760000000000002</v>
      </c>
      <c r="C20" s="1024">
        <f>+'Sheet 4-2a'!C18</f>
        <v>17.490000000000002</v>
      </c>
      <c r="D20" s="1024">
        <f>+C20-B20</f>
        <v>-1.2699999999999996</v>
      </c>
      <c r="E20" s="1025">
        <f>+C20/B20-1</f>
        <v>-6.7697228144989352E-2</v>
      </c>
      <c r="F20" s="1023"/>
      <c r="G20" s="1024">
        <v>22.671604242505708</v>
      </c>
      <c r="H20" s="1024">
        <f>+'Sheet 3-2a'!AK18</f>
        <v>19.979908202645781</v>
      </c>
      <c r="I20" s="1024">
        <f>+H20-G20</f>
        <v>-2.6916960398599272</v>
      </c>
      <c r="J20" s="1025">
        <f>+H20/G20-1</f>
        <v>-0.11872543341301889</v>
      </c>
      <c r="K20" s="1023"/>
      <c r="L20" s="1024">
        <f>+G20-B20</f>
        <v>3.9116042425057067</v>
      </c>
      <c r="M20" s="1025">
        <f>+G20/B20-1</f>
        <v>0.2085076888329267</v>
      </c>
      <c r="N20" s="1024">
        <f>+H20-C20</f>
        <v>2.4899082026457791</v>
      </c>
      <c r="O20" s="1025">
        <f>+H20/C20-1</f>
        <v>0.14236181833309192</v>
      </c>
      <c r="P20" s="1012"/>
      <c r="Q20" s="1012"/>
      <c r="R20" s="1012"/>
      <c r="S20" s="1012"/>
      <c r="T20" s="1012"/>
      <c r="U20" s="1012"/>
      <c r="V20" s="1012"/>
      <c r="W20" s="1012"/>
      <c r="X20" s="1012"/>
      <c r="Y20" s="1012"/>
      <c r="Z20" s="1012"/>
      <c r="AA20" s="1012"/>
      <c r="AB20" s="1012"/>
      <c r="AC20" s="1012"/>
      <c r="AD20" s="1012"/>
    </row>
    <row r="21" spans="1:30" ht="18" customHeight="1">
      <c r="A21" s="1013" t="s">
        <v>8</v>
      </c>
      <c r="B21" s="1024">
        <v>18.760000000000002</v>
      </c>
      <c r="C21" s="1024">
        <f>+'Sheet 4-2a'!C19</f>
        <v>17.490000000000002</v>
      </c>
      <c r="D21" s="1024">
        <f>+C21-B21</f>
        <v>-1.2699999999999996</v>
      </c>
      <c r="E21" s="1025">
        <f>+C21/B21-1</f>
        <v>-6.7697228144989352E-2</v>
      </c>
      <c r="F21" s="1023"/>
      <c r="G21" s="1024">
        <v>9.4587665900244158</v>
      </c>
      <c r="H21" s="1024">
        <f>+'Sheet 3-2a'!AK19</f>
        <v>9.193880559372051</v>
      </c>
      <c r="I21" s="1024">
        <f>+H21-G21</f>
        <v>-0.26488603065236482</v>
      </c>
      <c r="J21" s="1025">
        <f>+H21/G21-1</f>
        <v>-2.8004288733768257E-2</v>
      </c>
      <c r="K21" s="1023"/>
      <c r="L21" s="1024">
        <f>+G21-B21</f>
        <v>-9.3012334099755858</v>
      </c>
      <c r="M21" s="1025">
        <f>+G21/B21-1</f>
        <v>-0.49580135447631046</v>
      </c>
      <c r="N21" s="1024">
        <f>+H21-C21</f>
        <v>-8.296119440627951</v>
      </c>
      <c r="O21" s="1025">
        <f>+H21/C21-1</f>
        <v>-0.47433501661680677</v>
      </c>
      <c r="P21" s="1012"/>
      <c r="Q21" s="1012"/>
      <c r="R21" s="1012"/>
      <c r="S21" s="1012"/>
      <c r="T21" s="1012"/>
      <c r="U21" s="1012"/>
      <c r="V21" s="1012"/>
      <c r="W21" s="1012"/>
      <c r="X21" s="1012"/>
      <c r="Y21" s="1012"/>
      <c r="Z21" s="1012"/>
      <c r="AA21" s="1012"/>
      <c r="AB21" s="1012"/>
      <c r="AC21" s="1012"/>
      <c r="AD21" s="1012"/>
    </row>
    <row r="22" spans="1:30" ht="18" customHeight="1">
      <c r="A22" s="1014" t="s">
        <v>6</v>
      </c>
      <c r="B22" s="1026">
        <v>9.3369105045682002</v>
      </c>
      <c r="C22" s="1026">
        <f>+'Sheet 4-2a'!C20</f>
        <v>13.036910504568199</v>
      </c>
      <c r="D22" s="1026">
        <f>+C22-B22</f>
        <v>3.6999999999999993</v>
      </c>
      <c r="E22" s="1027">
        <f>+C22/B22-1</f>
        <v>0.39627669111637398</v>
      </c>
      <c r="F22" s="1023"/>
      <c r="G22" s="1026">
        <v>5.7261433886866069</v>
      </c>
      <c r="H22" s="1026">
        <f>+'Sheet 3-2a'!AK20</f>
        <v>7.8148232408157412</v>
      </c>
      <c r="I22" s="1026">
        <f>+H22-G22</f>
        <v>2.0886798521291343</v>
      </c>
      <c r="J22" s="1027">
        <f>+H22/G22-1</f>
        <v>0.36476205892011548</v>
      </c>
      <c r="K22" s="1023"/>
      <c r="L22" s="1026">
        <f>+G22-B22</f>
        <v>-3.6107671158815933</v>
      </c>
      <c r="M22" s="1027">
        <f>+G22/B22-1</f>
        <v>-0.38671968785766775</v>
      </c>
      <c r="N22" s="1026">
        <f>+H22-C22</f>
        <v>-5.2220872637524582</v>
      </c>
      <c r="O22" s="1027">
        <f>+H22/C22-1</f>
        <v>-0.4005617175881212</v>
      </c>
      <c r="P22" s="1012"/>
      <c r="Q22" s="1012"/>
      <c r="R22" s="1012"/>
      <c r="S22" s="1012"/>
      <c r="T22" s="1012"/>
      <c r="U22" s="1012"/>
      <c r="V22" s="1012"/>
      <c r="W22" s="1012"/>
      <c r="X22" s="1012"/>
      <c r="Y22" s="1012"/>
      <c r="Z22" s="1012"/>
      <c r="AA22" s="1012"/>
      <c r="AB22" s="1012"/>
      <c r="AC22" s="1012"/>
      <c r="AD22" s="1012"/>
    </row>
    <row r="23" spans="1:30" ht="13.5" customHeight="1">
      <c r="A23" s="1011"/>
      <c r="B23" s="1028"/>
      <c r="C23" s="1028"/>
      <c r="D23" s="1028"/>
      <c r="E23" s="1028"/>
      <c r="F23" s="1023"/>
      <c r="G23" s="1028"/>
      <c r="H23" s="1028"/>
      <c r="I23" s="1028"/>
      <c r="J23" s="1028"/>
      <c r="K23" s="1023"/>
      <c r="L23" s="1028"/>
      <c r="M23" s="1028"/>
      <c r="N23" s="1028"/>
      <c r="O23" s="1028"/>
      <c r="P23" s="1012"/>
      <c r="Q23" s="1012"/>
      <c r="R23" s="1012"/>
      <c r="S23" s="1012"/>
      <c r="T23" s="1012"/>
      <c r="U23" s="1012"/>
      <c r="V23" s="1012"/>
      <c r="W23" s="1012"/>
      <c r="X23" s="1012"/>
      <c r="Y23" s="1012"/>
      <c r="Z23" s="1012"/>
      <c r="AA23" s="1012"/>
      <c r="AB23" s="1012"/>
      <c r="AC23" s="1012"/>
      <c r="AD23" s="1012"/>
    </row>
    <row r="24" spans="1:30" ht="18" customHeight="1">
      <c r="A24" s="1010" t="s">
        <v>10</v>
      </c>
      <c r="B24" s="1021">
        <v>16.240000000000002</v>
      </c>
      <c r="C24" s="1021">
        <f>+'Sheet 4-2a'!C22</f>
        <v>16.540000000000003</v>
      </c>
      <c r="D24" s="1021">
        <f t="shared" ref="D24:D29" si="0">+C24-B24</f>
        <v>0.30000000000000071</v>
      </c>
      <c r="E24" s="1022">
        <f t="shared" ref="E24:E29" si="1">+C24/B24-1</f>
        <v>1.8472906403940836E-2</v>
      </c>
      <c r="F24" s="1023"/>
      <c r="G24" s="1021">
        <v>16.232179532129933</v>
      </c>
      <c r="H24" s="1021">
        <f>+'Sheet 3-2a'!AK22</f>
        <v>16.532711359521318</v>
      </c>
      <c r="I24" s="1021">
        <f t="shared" ref="I24:I29" si="2">+H24-G24</f>
        <v>0.30053182739138506</v>
      </c>
      <c r="J24" s="1022">
        <f t="shared" ref="J24:J29" si="3">+H24/G24-1</f>
        <v>1.8514570196596969E-2</v>
      </c>
      <c r="K24" s="1023"/>
      <c r="L24" s="1021">
        <f t="shared" ref="L24:L29" si="4">+G24-B24</f>
        <v>-7.8204678700686259E-3</v>
      </c>
      <c r="M24" s="1022">
        <f t="shared" ref="M24:M29" si="5">+G24/B24-1</f>
        <v>-4.8155590332932263E-4</v>
      </c>
      <c r="N24" s="1021">
        <f t="shared" ref="N24:N29" si="6">+H24-C24</f>
        <v>-7.2886404786842718E-3</v>
      </c>
      <c r="O24" s="1022">
        <f t="shared" ref="O24:O29" si="7">+H24/C24-1</f>
        <v>-4.4066750173421543E-4</v>
      </c>
      <c r="P24" s="1012"/>
      <c r="Q24" s="1012"/>
      <c r="R24" s="1012"/>
      <c r="S24" s="1012"/>
      <c r="T24" s="1012"/>
      <c r="U24" s="1012"/>
      <c r="V24" s="1012"/>
      <c r="W24" s="1012"/>
      <c r="X24" s="1012"/>
      <c r="Y24" s="1012"/>
      <c r="Z24" s="1012"/>
      <c r="AA24" s="1012"/>
      <c r="AB24" s="1012"/>
      <c r="AC24" s="1012"/>
      <c r="AD24" s="1012"/>
    </row>
    <row r="25" spans="1:30" ht="18" customHeight="1">
      <c r="A25" s="1013" t="s">
        <v>11</v>
      </c>
      <c r="B25" s="1024">
        <v>13.6</v>
      </c>
      <c r="C25" s="1024">
        <f>+'Sheet 4-2a'!C23</f>
        <v>11.14</v>
      </c>
      <c r="D25" s="1024">
        <f t="shared" si="0"/>
        <v>-2.4599999999999991</v>
      </c>
      <c r="E25" s="1025">
        <f t="shared" si="1"/>
        <v>-0.18088235294117638</v>
      </c>
      <c r="F25" s="1023"/>
      <c r="G25" s="1024">
        <v>13.596887509381487</v>
      </c>
      <c r="H25" s="1024">
        <f>+'Sheet 3-2a'!AK23</f>
        <v>11.132377907373169</v>
      </c>
      <c r="I25" s="1024">
        <f t="shared" si="2"/>
        <v>-2.4645096020083184</v>
      </c>
      <c r="J25" s="1025">
        <f t="shared" si="3"/>
        <v>-0.18125542336861089</v>
      </c>
      <c r="K25" s="1023"/>
      <c r="L25" s="1024">
        <f t="shared" si="4"/>
        <v>-3.1124906185127088E-3</v>
      </c>
      <c r="M25" s="1025">
        <f t="shared" si="5"/>
        <v>-2.2885960430241159E-4</v>
      </c>
      <c r="N25" s="1024">
        <f t="shared" si="6"/>
        <v>-7.622092626832E-3</v>
      </c>
      <c r="O25" s="1025">
        <f t="shared" si="7"/>
        <v>-6.8420939199564934E-4</v>
      </c>
      <c r="P25" s="1012"/>
      <c r="Q25" s="1012"/>
      <c r="R25" s="1012"/>
      <c r="S25" s="1012"/>
      <c r="T25" s="1012"/>
      <c r="U25" s="1012"/>
      <c r="V25" s="1012"/>
      <c r="W25" s="1012"/>
      <c r="X25" s="1012"/>
      <c r="Y25" s="1012"/>
      <c r="Z25" s="1012"/>
      <c r="AA25" s="1012"/>
      <c r="AB25" s="1012"/>
      <c r="AC25" s="1012"/>
      <c r="AD25" s="1012"/>
    </row>
    <row r="26" spans="1:30" ht="18" customHeight="1">
      <c r="A26" s="1013" t="s">
        <v>12</v>
      </c>
      <c r="B26" s="1024">
        <v>27.23</v>
      </c>
      <c r="C26" s="1024">
        <f>+'Sheet 4-2a'!C24</f>
        <v>19.48</v>
      </c>
      <c r="D26" s="1024">
        <f t="shared" si="0"/>
        <v>-7.75</v>
      </c>
      <c r="E26" s="1025">
        <f t="shared" si="1"/>
        <v>-0.28461255967682697</v>
      </c>
      <c r="F26" s="1023"/>
      <c r="G26" s="1024">
        <v>29.767393637951589</v>
      </c>
      <c r="H26" s="1024">
        <f>+'Sheet 3-2a'!AK24</f>
        <v>20.02303269272743</v>
      </c>
      <c r="I26" s="1024">
        <f t="shared" si="2"/>
        <v>-9.7443609452241589</v>
      </c>
      <c r="J26" s="1025">
        <f t="shared" si="3"/>
        <v>-0.32735015580271365</v>
      </c>
      <c r="K26" s="1023"/>
      <c r="L26" s="1024">
        <f t="shared" si="4"/>
        <v>2.5373936379515882</v>
      </c>
      <c r="M26" s="1025">
        <f t="shared" si="5"/>
        <v>9.3183754607109481E-2</v>
      </c>
      <c r="N26" s="1024">
        <f t="shared" si="6"/>
        <v>0.54303269272742938</v>
      </c>
      <c r="O26" s="1025">
        <f t="shared" si="7"/>
        <v>2.7876421597917256E-2</v>
      </c>
      <c r="P26" s="1012"/>
      <c r="Q26" s="1012"/>
      <c r="R26" s="1012"/>
      <c r="S26" s="1012"/>
      <c r="T26" s="1012"/>
      <c r="U26" s="1012"/>
      <c r="V26" s="1012"/>
      <c r="W26" s="1012"/>
      <c r="X26" s="1012"/>
      <c r="Y26" s="1012"/>
      <c r="Z26" s="1012"/>
      <c r="AA26" s="1012"/>
      <c r="AB26" s="1012"/>
      <c r="AC26" s="1012"/>
      <c r="AD26" s="1012"/>
    </row>
    <row r="27" spans="1:30" ht="18" customHeight="1">
      <c r="A27" s="1013" t="s">
        <v>22</v>
      </c>
      <c r="B27" s="1024">
        <v>27.23</v>
      </c>
      <c r="C27" s="1024">
        <f>+'Sheet 4-2a'!C25</f>
        <v>19.48</v>
      </c>
      <c r="D27" s="1024">
        <f t="shared" si="0"/>
        <v>-7.75</v>
      </c>
      <c r="E27" s="1025">
        <f t="shared" si="1"/>
        <v>-0.28461255967682697</v>
      </c>
      <c r="F27" s="1023"/>
      <c r="G27" s="1024">
        <v>33.684865082164677</v>
      </c>
      <c r="H27" s="1024">
        <f>+'Sheet 3-2a'!AK25</f>
        <v>20.035919943363385</v>
      </c>
      <c r="I27" s="1024">
        <f t="shared" si="2"/>
        <v>-13.648945138801292</v>
      </c>
      <c r="J27" s="1025">
        <f t="shared" si="3"/>
        <v>-0.40519518500396423</v>
      </c>
      <c r="K27" s="1023"/>
      <c r="L27" s="1024">
        <f t="shared" si="4"/>
        <v>6.4548650821646767</v>
      </c>
      <c r="M27" s="1025">
        <f t="shared" si="5"/>
        <v>0.23704976431012392</v>
      </c>
      <c r="N27" s="1024">
        <f t="shared" si="6"/>
        <v>0.55591994336338502</v>
      </c>
      <c r="O27" s="1025">
        <f t="shared" si="7"/>
        <v>2.8537984772247782E-2</v>
      </c>
      <c r="P27" s="1012"/>
      <c r="Q27" s="1012"/>
      <c r="R27" s="1012"/>
      <c r="S27" s="1012"/>
      <c r="T27" s="1012"/>
      <c r="U27" s="1012"/>
      <c r="V27" s="1012"/>
      <c r="W27" s="1012"/>
      <c r="X27" s="1012"/>
      <c r="Y27" s="1012"/>
      <c r="Z27" s="1012"/>
      <c r="AA27" s="1012"/>
      <c r="AB27" s="1012"/>
      <c r="AC27" s="1012"/>
      <c r="AD27" s="1012"/>
    </row>
    <row r="28" spans="1:30" ht="18" customHeight="1">
      <c r="A28" s="1013" t="s">
        <v>13</v>
      </c>
      <c r="B28" s="1024">
        <v>27.23</v>
      </c>
      <c r="C28" s="1024">
        <f>+'Sheet 4-2a'!C26</f>
        <v>19.48</v>
      </c>
      <c r="D28" s="1024">
        <f t="shared" si="0"/>
        <v>-7.75</v>
      </c>
      <c r="E28" s="1025">
        <f t="shared" si="1"/>
        <v>-0.28461255967682697</v>
      </c>
      <c r="F28" s="1023"/>
      <c r="G28" s="1024">
        <v>41.428662450336546</v>
      </c>
      <c r="H28" s="1024">
        <f>+'Sheet 3-2a'!AK26</f>
        <v>24.474029164233663</v>
      </c>
      <c r="I28" s="1024">
        <f t="shared" si="2"/>
        <v>-16.954633286102883</v>
      </c>
      <c r="J28" s="1025">
        <f t="shared" si="3"/>
        <v>-0.40924886982358155</v>
      </c>
      <c r="K28" s="1023"/>
      <c r="L28" s="1024">
        <f t="shared" si="4"/>
        <v>14.198662450336546</v>
      </c>
      <c r="M28" s="1025">
        <f t="shared" si="5"/>
        <v>0.52143453728742362</v>
      </c>
      <c r="N28" s="1024">
        <f t="shared" si="6"/>
        <v>4.9940291642336625</v>
      </c>
      <c r="O28" s="1025">
        <f t="shared" si="7"/>
        <v>0.25636700021733372</v>
      </c>
      <c r="P28" s="1012"/>
      <c r="Q28" s="1012"/>
      <c r="R28" s="1012"/>
      <c r="S28" s="1012"/>
      <c r="T28" s="1012"/>
      <c r="U28" s="1012"/>
      <c r="V28" s="1012"/>
      <c r="W28" s="1012"/>
      <c r="X28" s="1012"/>
      <c r="Y28" s="1012"/>
      <c r="Z28" s="1012"/>
      <c r="AA28" s="1012"/>
      <c r="AB28" s="1012"/>
      <c r="AC28" s="1012"/>
      <c r="AD28" s="1012"/>
    </row>
    <row r="29" spans="1:30" ht="18" customHeight="1">
      <c r="A29" s="1014" t="s">
        <v>14</v>
      </c>
      <c r="B29" s="1026">
        <v>29.321740326549598</v>
      </c>
      <c r="C29" s="1026">
        <f>+'Sheet 4-2a'!C27</f>
        <v>21.571740326549598</v>
      </c>
      <c r="D29" s="1026">
        <f t="shared" si="0"/>
        <v>-7.75</v>
      </c>
      <c r="E29" s="1027">
        <f t="shared" si="1"/>
        <v>-0.26430900463921991</v>
      </c>
      <c r="F29" s="1023"/>
      <c r="G29" s="1026">
        <v>18.893050204926663</v>
      </c>
      <c r="H29" s="1026">
        <f>+'Sheet 3-2a'!AK27</f>
        <v>17.536781444668463</v>
      </c>
      <c r="I29" s="1026">
        <f t="shared" si="2"/>
        <v>-1.3562687602581995</v>
      </c>
      <c r="J29" s="1027">
        <f t="shared" si="3"/>
        <v>-7.1786648823096377E-2</v>
      </c>
      <c r="K29" s="1023"/>
      <c r="L29" s="1026">
        <f t="shared" si="4"/>
        <v>-10.428690121622935</v>
      </c>
      <c r="M29" s="1027">
        <f t="shared" si="5"/>
        <v>-0.35566409106284169</v>
      </c>
      <c r="N29" s="1026">
        <f t="shared" si="6"/>
        <v>-4.0349588818811348</v>
      </c>
      <c r="O29" s="1027">
        <f t="shared" si="7"/>
        <v>-0.18704837072950831</v>
      </c>
      <c r="P29" s="1012"/>
      <c r="Q29" s="1012"/>
      <c r="R29" s="1012"/>
      <c r="S29" s="1012"/>
      <c r="T29" s="1012"/>
      <c r="U29" s="1012"/>
      <c r="V29" s="1012"/>
      <c r="W29" s="1012"/>
      <c r="X29" s="1012"/>
      <c r="Y29" s="1012"/>
      <c r="Z29" s="1012"/>
      <c r="AA29" s="1012"/>
      <c r="AB29" s="1012"/>
      <c r="AC29" s="1012"/>
      <c r="AD29" s="1012"/>
    </row>
    <row r="30" spans="1:30" ht="13.5" customHeight="1">
      <c r="A30" s="1011"/>
      <c r="B30" s="1028"/>
      <c r="C30" s="1028"/>
      <c r="D30" s="1028"/>
      <c r="E30" s="1028"/>
      <c r="F30" s="1023"/>
      <c r="G30" s="1028"/>
      <c r="H30" s="1028"/>
      <c r="I30" s="1028"/>
      <c r="J30" s="1028"/>
      <c r="K30" s="1023"/>
      <c r="L30" s="1028"/>
      <c r="M30" s="1028"/>
      <c r="N30" s="1028"/>
      <c r="O30" s="1028"/>
      <c r="P30" s="1012"/>
      <c r="Q30" s="1012"/>
      <c r="R30" s="1012"/>
      <c r="S30" s="1012"/>
      <c r="T30" s="1012"/>
      <c r="U30" s="1012"/>
      <c r="V30" s="1012"/>
      <c r="W30" s="1012"/>
      <c r="X30" s="1012"/>
      <c r="Y30" s="1012"/>
      <c r="Z30" s="1012"/>
      <c r="AA30" s="1012"/>
      <c r="AB30" s="1012"/>
      <c r="AC30" s="1012"/>
      <c r="AD30" s="1012"/>
    </row>
    <row r="31" spans="1:30" ht="18" customHeight="1">
      <c r="A31" s="1010" t="s">
        <v>189</v>
      </c>
      <c r="B31" s="1021">
        <v>6.0699999999999994</v>
      </c>
      <c r="C31" s="1021">
        <f>+'Sheet 4-2a'!C29</f>
        <v>6.81</v>
      </c>
      <c r="D31" s="1021">
        <f>+C31-B31</f>
        <v>0.74000000000000021</v>
      </c>
      <c r="E31" s="1022">
        <f>+C31/B31-1</f>
        <v>0.12191103789126867</v>
      </c>
      <c r="F31" s="1023"/>
      <c r="G31" s="1021">
        <v>5.718567528180162</v>
      </c>
      <c r="H31" s="1021">
        <f>+'Sheet 3-2a'!AK29</f>
        <v>6.1889701750655055</v>
      </c>
      <c r="I31" s="1021">
        <f>+H31-G31</f>
        <v>0.4704026468853435</v>
      </c>
      <c r="J31" s="1022">
        <f>+H31/G31-1</f>
        <v>8.2258825233290755E-2</v>
      </c>
      <c r="K31" s="1023"/>
      <c r="L31" s="1021">
        <f>+G31-B31</f>
        <v>-0.35143247181983739</v>
      </c>
      <c r="M31" s="1022">
        <f>+G31/B31-1</f>
        <v>-5.7896618092230234E-2</v>
      </c>
      <c r="N31" s="1021">
        <f>+H31-C31</f>
        <v>-0.6210298249344941</v>
      </c>
      <c r="O31" s="1022">
        <f>+H31/C31-1</f>
        <v>-9.1193806891996188E-2</v>
      </c>
      <c r="P31" s="1012"/>
      <c r="Q31" s="1012"/>
      <c r="R31" s="1012"/>
      <c r="S31" s="1012"/>
      <c r="T31" s="1012"/>
      <c r="U31" s="1012"/>
      <c r="V31" s="1012"/>
      <c r="W31" s="1012"/>
      <c r="X31" s="1012"/>
      <c r="Y31" s="1012"/>
      <c r="Z31" s="1012"/>
      <c r="AA31" s="1012"/>
      <c r="AB31" s="1012"/>
      <c r="AC31" s="1012"/>
      <c r="AD31" s="1012"/>
    </row>
    <row r="32" spans="1:30" ht="18" customHeight="1">
      <c r="A32" s="1013" t="s">
        <v>108</v>
      </c>
      <c r="B32" s="1024">
        <v>6.0699999999999994</v>
      </c>
      <c r="C32" s="1024">
        <f>+'Sheet 4-2a'!C30</f>
        <v>6.81</v>
      </c>
      <c r="D32" s="1024">
        <f>+C32-B32</f>
        <v>0.74000000000000021</v>
      </c>
      <c r="E32" s="1025">
        <f>+C32/B32-1</f>
        <v>0.12191103789126867</v>
      </c>
      <c r="F32" s="1023"/>
      <c r="G32" s="1024">
        <v>7.3657332073212842</v>
      </c>
      <c r="H32" s="1024">
        <f>+'Sheet 3-2a'!AK30</f>
        <v>9.1404701448751187</v>
      </c>
      <c r="I32" s="1024">
        <f>+H32-G32</f>
        <v>1.7747369375538344</v>
      </c>
      <c r="J32" s="1025">
        <f>+H32/G32-1</f>
        <v>0.24094504750590295</v>
      </c>
      <c r="K32" s="1023"/>
      <c r="L32" s="1024">
        <f>+G32-B32</f>
        <v>1.2957332073212848</v>
      </c>
      <c r="M32" s="1025">
        <f>+G32/B32-1</f>
        <v>0.21346510829016219</v>
      </c>
      <c r="N32" s="1024">
        <f>+H32-C32</f>
        <v>2.3304701448751191</v>
      </c>
      <c r="O32" s="1025">
        <f>+H32/C32-1</f>
        <v>0.34221294344715414</v>
      </c>
      <c r="P32" s="1012"/>
      <c r="Q32" s="1012"/>
      <c r="R32" s="1012"/>
      <c r="S32" s="1012"/>
      <c r="T32" s="1012"/>
      <c r="U32" s="1012"/>
      <c r="V32" s="1012"/>
      <c r="W32" s="1012"/>
      <c r="X32" s="1012"/>
      <c r="Y32" s="1012"/>
      <c r="Z32" s="1012"/>
      <c r="AA32" s="1012"/>
      <c r="AB32" s="1012"/>
      <c r="AC32" s="1012"/>
      <c r="AD32" s="1012"/>
    </row>
    <row r="33" spans="1:30" ht="18" customHeight="1">
      <c r="A33" s="1014" t="s">
        <v>109</v>
      </c>
      <c r="B33" s="1026">
        <v>6.0699999999999994</v>
      </c>
      <c r="C33" s="1026">
        <f>+'Sheet 4-2a'!C31</f>
        <v>6.81</v>
      </c>
      <c r="D33" s="1026">
        <f>+C33-B33</f>
        <v>0.74000000000000021</v>
      </c>
      <c r="E33" s="1027">
        <f>+C33/B33-1</f>
        <v>0.12191103789126867</v>
      </c>
      <c r="F33" s="1023"/>
      <c r="G33" s="1026">
        <v>7.8957158966684871</v>
      </c>
      <c r="H33" s="1026">
        <f>+'Sheet 3-2a'!AK31</f>
        <v>10.054541757347877</v>
      </c>
      <c r="I33" s="1026">
        <f>+H33-G33</f>
        <v>2.1588258606793902</v>
      </c>
      <c r="J33" s="1027">
        <f>+H33/G33-1</f>
        <v>0.27341736821993345</v>
      </c>
      <c r="K33" s="1023"/>
      <c r="L33" s="1026">
        <f>+G33-B33</f>
        <v>1.8257158966684877</v>
      </c>
      <c r="M33" s="1027">
        <f>+G33/B33-1</f>
        <v>0.30077691872627477</v>
      </c>
      <c r="N33" s="1026">
        <f>+H33-C33</f>
        <v>3.2445417573478776</v>
      </c>
      <c r="O33" s="1027">
        <f>+H33/C33-1</f>
        <v>0.47643784983081905</v>
      </c>
      <c r="P33" s="1012"/>
      <c r="Q33" s="1012"/>
      <c r="R33" s="1012"/>
      <c r="S33" s="1012"/>
      <c r="T33" s="1012"/>
      <c r="U33" s="1012"/>
      <c r="V33" s="1012"/>
      <c r="W33" s="1012"/>
      <c r="X33" s="1012"/>
      <c r="Y33" s="1012"/>
      <c r="Z33" s="1012"/>
      <c r="AA33" s="1012"/>
      <c r="AB33" s="1012"/>
      <c r="AC33" s="1012"/>
      <c r="AD33" s="1012"/>
    </row>
    <row r="34" spans="1:30" ht="13.5" customHeight="1">
      <c r="A34" s="1011"/>
      <c r="B34" s="1028"/>
      <c r="C34" s="1028"/>
      <c r="D34" s="1028"/>
      <c r="E34" s="1028"/>
      <c r="F34" s="1023"/>
      <c r="G34" s="1028"/>
      <c r="H34" s="1028"/>
      <c r="I34" s="1028"/>
      <c r="J34" s="1028"/>
      <c r="K34" s="1023"/>
      <c r="L34" s="1028"/>
      <c r="M34" s="1028"/>
      <c r="N34" s="1028"/>
      <c r="O34" s="1028"/>
      <c r="P34" s="1012"/>
      <c r="Q34" s="1012"/>
      <c r="R34" s="1012"/>
      <c r="S34" s="1012"/>
      <c r="T34" s="1012"/>
      <c r="U34" s="1012"/>
      <c r="V34" s="1012"/>
      <c r="W34" s="1012"/>
      <c r="X34" s="1012"/>
      <c r="Y34" s="1012"/>
      <c r="Z34" s="1012"/>
      <c r="AA34" s="1012"/>
      <c r="AB34" s="1012"/>
      <c r="AC34" s="1012"/>
      <c r="AD34" s="1012"/>
    </row>
    <row r="35" spans="1:30" ht="18" customHeight="1">
      <c r="A35" s="1010" t="s">
        <v>94</v>
      </c>
      <c r="B35" s="1021">
        <v>2</v>
      </c>
      <c r="C35" s="1021">
        <f>+'Sheet 4-2a'!C33</f>
        <v>-12.39</v>
      </c>
      <c r="D35" s="1021">
        <f>+C35-B35</f>
        <v>-14.39</v>
      </c>
      <c r="E35" s="1022">
        <f>+C35/B35-1</f>
        <v>-7.1950000000000003</v>
      </c>
      <c r="F35" s="1023"/>
      <c r="G35" s="1021">
        <v>1.9915935608181845</v>
      </c>
      <c r="H35" s="1021">
        <f>+'Sheet 3-2a'!AK33</f>
        <v>-12.384114932846281</v>
      </c>
      <c r="I35" s="1021">
        <f>+H35-G35</f>
        <v>-14.375708493664465</v>
      </c>
      <c r="J35" s="1022">
        <f>+H35/G35-1</f>
        <v>-7.2181939008472442</v>
      </c>
      <c r="K35" s="1023"/>
      <c r="L35" s="1021">
        <f>+G35-B35</f>
        <v>-8.4064391818154949E-3</v>
      </c>
      <c r="M35" s="1022">
        <f>+G35/B35-1</f>
        <v>-4.2032195909077474E-3</v>
      </c>
      <c r="N35" s="1021">
        <f>+H35-C35</f>
        <v>5.8850671537200583E-3</v>
      </c>
      <c r="O35" s="1022">
        <f>+H35/C35-1</f>
        <v>-4.7498524243094753E-4</v>
      </c>
      <c r="P35" s="1012"/>
      <c r="Q35" s="1012"/>
      <c r="R35" s="1012"/>
      <c r="S35" s="1012"/>
      <c r="T35" s="1012"/>
      <c r="U35" s="1012"/>
      <c r="V35" s="1012"/>
      <c r="W35" s="1012"/>
      <c r="X35" s="1012"/>
      <c r="Y35" s="1012"/>
      <c r="Z35" s="1012"/>
      <c r="AA35" s="1012"/>
      <c r="AB35" s="1012"/>
      <c r="AC35" s="1012"/>
      <c r="AD35" s="1012"/>
    </row>
    <row r="36" spans="1:30" ht="18" customHeight="1">
      <c r="A36" s="1014" t="s">
        <v>95</v>
      </c>
      <c r="B36" s="1026">
        <v>8.41</v>
      </c>
      <c r="C36" s="1026">
        <f>+'Sheet 4-2a'!C34</f>
        <v>8.67</v>
      </c>
      <c r="D36" s="1026">
        <f>+C36-B36</f>
        <v>0.25999999999999979</v>
      </c>
      <c r="E36" s="1027">
        <f>+C36/B36-1</f>
        <v>3.0915576694411362E-2</v>
      </c>
      <c r="F36" s="1023"/>
      <c r="G36" s="1026">
        <v>8.4035266257791363</v>
      </c>
      <c r="H36" s="1026">
        <f>+'Sheet 3-2a'!AK34</f>
        <v>8.6669225149551679</v>
      </c>
      <c r="I36" s="1026">
        <f>+H36-G36</f>
        <v>0.26339588917603152</v>
      </c>
      <c r="J36" s="1027">
        <f>+H36/G36-1</f>
        <v>3.1343494333441413E-2</v>
      </c>
      <c r="K36" s="1023"/>
      <c r="L36" s="1026">
        <f>+G36-B36</f>
        <v>-6.4733742208638034E-3</v>
      </c>
      <c r="M36" s="1027">
        <f>+G36/B36-1</f>
        <v>-7.6972345075665416E-4</v>
      </c>
      <c r="N36" s="1026">
        <f>+H36-C36</f>
        <v>-3.0774850448320734E-3</v>
      </c>
      <c r="O36" s="1027">
        <f>+H36/C36-1</f>
        <v>-3.5495790597828147E-4</v>
      </c>
      <c r="P36" s="1012"/>
      <c r="Q36" s="1012"/>
      <c r="R36" s="1012"/>
      <c r="S36" s="1012"/>
      <c r="T36" s="1012"/>
      <c r="U36" s="1012"/>
      <c r="V36" s="1012"/>
      <c r="W36" s="1012"/>
      <c r="X36" s="1012"/>
      <c r="Y36" s="1012"/>
      <c r="Z36" s="1012"/>
      <c r="AA36" s="1012"/>
      <c r="AB36" s="1012"/>
      <c r="AC36" s="1012"/>
      <c r="AD36" s="1012"/>
    </row>
    <row r="37" spans="1:30" ht="13.5" customHeight="1">
      <c r="A37" s="1011"/>
      <c r="B37" s="1028"/>
      <c r="C37" s="1028"/>
      <c r="D37" s="1028"/>
      <c r="E37" s="1028"/>
      <c r="F37" s="1023"/>
      <c r="G37" s="1028"/>
      <c r="H37" s="1028"/>
      <c r="I37" s="1028"/>
      <c r="J37" s="1028"/>
      <c r="K37" s="1023"/>
      <c r="L37" s="1028"/>
      <c r="M37" s="1028"/>
      <c r="N37" s="1028"/>
      <c r="O37" s="1028"/>
      <c r="P37" s="1012"/>
      <c r="Q37" s="1012"/>
      <c r="R37" s="1012"/>
      <c r="S37" s="1012"/>
      <c r="T37" s="1012"/>
      <c r="U37" s="1012"/>
      <c r="V37" s="1012"/>
      <c r="W37" s="1012"/>
      <c r="X37" s="1012"/>
      <c r="Y37" s="1012"/>
      <c r="Z37" s="1012"/>
      <c r="AA37" s="1012"/>
      <c r="AB37" s="1012"/>
      <c r="AC37" s="1012"/>
      <c r="AD37" s="1012"/>
    </row>
    <row r="38" spans="1:30" ht="18" customHeight="1">
      <c r="A38" s="1010" t="s">
        <v>97</v>
      </c>
      <c r="B38" s="1021">
        <v>3.2699999999999996</v>
      </c>
      <c r="C38" s="1021">
        <f>+'Sheet 4-2a'!C36</f>
        <v>7.8</v>
      </c>
      <c r="D38" s="1021">
        <f>+C38-B38</f>
        <v>4.53</v>
      </c>
      <c r="E38" s="1022">
        <f>+C38/B38-1</f>
        <v>1.3853211009174315</v>
      </c>
      <c r="F38" s="1023"/>
      <c r="G38" s="1021">
        <v>3.2685664853136482</v>
      </c>
      <c r="H38" s="1021">
        <f>+'Sheet 3-2a'!AK36</f>
        <v>7.7960340320443979</v>
      </c>
      <c r="I38" s="1021">
        <f>+H38-G38</f>
        <v>4.5274675467307492</v>
      </c>
      <c r="J38" s="1022">
        <f>+H38/G38-1</f>
        <v>1.3851538792536751</v>
      </c>
      <c r="K38" s="1023"/>
      <c r="L38" s="1021">
        <f>+G38-B38</f>
        <v>-1.4335146863513337E-3</v>
      </c>
      <c r="M38" s="1022">
        <f>+G38/B38-1</f>
        <v>-4.3838369613191652E-4</v>
      </c>
      <c r="N38" s="1021">
        <f>+H38-C38</f>
        <v>-3.9659679556018901E-3</v>
      </c>
      <c r="O38" s="1022">
        <f>+H38/C38-1</f>
        <v>-5.0845743020533352E-4</v>
      </c>
      <c r="P38" s="1012"/>
      <c r="Q38" s="1012"/>
      <c r="R38" s="1012"/>
      <c r="S38" s="1012"/>
      <c r="T38" s="1012"/>
      <c r="U38" s="1012"/>
      <c r="V38" s="1012"/>
      <c r="W38" s="1012"/>
      <c r="X38" s="1012"/>
      <c r="Y38" s="1012"/>
      <c r="Z38" s="1012"/>
      <c r="AA38" s="1012"/>
      <c r="AB38" s="1012"/>
      <c r="AC38" s="1012"/>
      <c r="AD38" s="1012"/>
    </row>
    <row r="39" spans="1:30" ht="18" customHeight="1">
      <c r="A39" s="1014" t="s">
        <v>64</v>
      </c>
      <c r="B39" s="1026">
        <v>3.8299999999999996</v>
      </c>
      <c r="C39" s="1026">
        <f>+'Sheet 4-2a'!C37</f>
        <v>7.31</v>
      </c>
      <c r="D39" s="1026">
        <f>+C39-B39</f>
        <v>3.48</v>
      </c>
      <c r="E39" s="1027">
        <f>+C39/B39-1</f>
        <v>0.90861618798955623</v>
      </c>
      <c r="F39" s="1023"/>
      <c r="G39" s="1026">
        <v>3.8209514367669914</v>
      </c>
      <c r="H39" s="1026">
        <f>+'Sheet 3-2a'!AK37</f>
        <v>7.3076790942150858</v>
      </c>
      <c r="I39" s="1026">
        <f>+H39-G39</f>
        <v>3.4867276574480943</v>
      </c>
      <c r="J39" s="1027">
        <f>+H39/G39-1</f>
        <v>0.91252865029823749</v>
      </c>
      <c r="K39" s="1023"/>
      <c r="L39" s="1026">
        <f>+G39-B39</f>
        <v>-9.0485632330081778E-3</v>
      </c>
      <c r="M39" s="1027">
        <f>+G39/B39-1</f>
        <v>-2.3625491469995152E-3</v>
      </c>
      <c r="N39" s="1026">
        <f>+H39-C39</f>
        <v>-2.3209057849138404E-3</v>
      </c>
      <c r="O39" s="1027">
        <f>+H39/C39-1</f>
        <v>-3.174973713971907E-4</v>
      </c>
      <c r="P39" s="1012"/>
      <c r="Q39" s="1012"/>
      <c r="R39" s="1012"/>
      <c r="S39" s="1012"/>
      <c r="T39" s="1012"/>
      <c r="U39" s="1012"/>
      <c r="V39" s="1012"/>
      <c r="W39" s="1012"/>
      <c r="X39" s="1012"/>
      <c r="Y39" s="1012"/>
      <c r="Z39" s="1012"/>
      <c r="AA39" s="1012"/>
      <c r="AB39" s="1012"/>
      <c r="AC39" s="1012"/>
      <c r="AD39" s="1012"/>
    </row>
    <row r="40" spans="1:30" ht="18" customHeight="1">
      <c r="A40" s="1011"/>
      <c r="B40" s="1015"/>
      <c r="C40" s="1015"/>
      <c r="D40" s="1015"/>
      <c r="E40" s="1015"/>
      <c r="F40" s="1011"/>
      <c r="G40" s="1015"/>
      <c r="H40" s="1015"/>
      <c r="K40" s="1011"/>
    </row>
    <row r="41" spans="1:30" ht="18" customHeight="1">
      <c r="F41" s="1016"/>
      <c r="K41" s="1016"/>
      <c r="L41" s="1017"/>
      <c r="M41" s="1017"/>
      <c r="N41" s="1017"/>
      <c r="O41" s="1017"/>
    </row>
    <row r="43" spans="1:30" ht="18" customHeight="1">
      <c r="F43" s="1018"/>
      <c r="K43" s="1018"/>
    </row>
    <row r="45" spans="1:30" ht="18" customHeight="1">
      <c r="F45" s="1016"/>
      <c r="K45" s="1016"/>
    </row>
  </sheetData>
  <sheetProtection password="D6C3" sheet="1" selectLockedCells="1"/>
  <mergeCells count="3">
    <mergeCell ref="B9:C9"/>
    <mergeCell ref="G9:H9"/>
    <mergeCell ref="L9:O9"/>
  </mergeCells>
  <conditionalFormatting sqref="D3:E6 B6">
    <cfRule type="cellIs" dxfId="1" priority="4" stopIfTrue="1" operator="equal">
      <formula>"ok"</formula>
    </cfRule>
    <cfRule type="cellIs" dxfId="0" priority="5" stopIfTrue="1" operator="equal">
      <formula>"check"</formula>
    </cfRule>
  </conditionalFormatting>
  <pageMargins left="0.15748031496062992" right="0.15748031496062992" top="0.98425196850393704" bottom="0.98425196850393704" header="0.51181102362204722" footer="0.51181102362204722"/>
  <pageSetup scale="58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 Fees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Lantz</dc:creator>
  <cp:lastModifiedBy>WS4</cp:lastModifiedBy>
  <cp:lastPrinted>2012-07-19T14:02:51Z</cp:lastPrinted>
  <dcterms:created xsi:type="dcterms:W3CDTF">2002-10-29T15:27:24Z</dcterms:created>
  <dcterms:modified xsi:type="dcterms:W3CDTF">2013-03-12T20:22:18Z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2012_PIM_ac.xls</vt:lpwstr>
  </property>
</Properties>
</file>