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65521" windowWidth="16170" windowHeight="13050" tabRatio="778" activeTab="5"/>
  </bookViews>
  <sheets>
    <sheet name="Parameters" sheetId="1" r:id="rId1"/>
    <sheet name="Inputs" sheetId="2" r:id="rId2"/>
    <sheet name="Sheet 1 Gen &amp; Rec" sheetId="3" r:id="rId3"/>
    <sheet name="Sheet 2 Gross &amp; Net Costs" sheetId="4" r:id="rId4"/>
    <sheet name="Sheet 3 Disaggregated Fees" sheetId="5" r:id="rId5"/>
    <sheet name="Sheet 4 Fee Schedule" sheetId="6" r:id="rId6"/>
    <sheet name="Fee schedule - steward rules" sheetId="7" r:id="rId7"/>
    <sheet name="Historic Fee Rates" sheetId="8" r:id="rId8"/>
    <sheet name="Fee Comparison Graph" sheetId="9" r:id="rId9"/>
    <sheet name="Graph Data" sheetId="10" r:id="rId10"/>
  </sheets>
  <definedNames>
    <definedName name="_xlnm.Print_Area" localSheetId="6">'Fee schedule - steward rules'!#REF!</definedName>
    <definedName name="_xlnm.Print_Area" localSheetId="2">'Sheet 1 Gen &amp; Rec'!$A$1:$O$46</definedName>
    <definedName name="_xlnm.Print_Area" localSheetId="3">'Sheet 2 Gross &amp; Net Costs'!$A$1:$S$46</definedName>
    <definedName name="_xlnm.Print_Area" localSheetId="4">'Sheet 3 Disaggregated Fees'!$A$1:$AJ$41</definedName>
    <definedName name="_xlnm.Print_Area" localSheetId="5">'Sheet 4 Fee Schedule'!$A$1:$I$44</definedName>
    <definedName name="_xlnm.Print_Titles" localSheetId="4">'Sheet 3 Disaggregated Fees'!$A:$B</definedName>
  </definedNames>
  <calcPr fullCalcOnLoad="1"/>
</workbook>
</file>

<file path=xl/comments1.xml><?xml version="1.0" encoding="utf-8"?>
<comments xmlns="http://schemas.openxmlformats.org/spreadsheetml/2006/main">
  <authors>
    <author>Dan Lantz</author>
  </authors>
  <commentList>
    <comment ref="A13" authorId="0">
      <text>
        <r>
          <rPr>
            <b/>
            <sz val="8"/>
            <rFont val="Tahoma"/>
            <family val="2"/>
          </rPr>
          <t>This is allocated obligation to stewards using packaging. It is based on the net cost for the management of all packaging.</t>
        </r>
        <r>
          <rPr>
            <sz val="8"/>
            <rFont val="Tahoma"/>
            <family val="2"/>
          </rPr>
          <t xml:space="preserve">
</t>
        </r>
      </text>
    </comment>
    <comment ref="A12" authorId="0">
      <text>
        <r>
          <rPr>
            <b/>
            <sz val="8"/>
            <rFont val="Tahoma"/>
            <family val="2"/>
          </rPr>
          <t>This is allocated obligation to stewards using printed paper. It is based on the net cost for the management of printed paper.</t>
        </r>
        <r>
          <rPr>
            <sz val="8"/>
            <rFont val="Tahoma"/>
            <family val="2"/>
          </rPr>
          <t xml:space="preserve">
</t>
        </r>
      </text>
    </comment>
  </commentList>
</comments>
</file>

<file path=xl/comments3.xml><?xml version="1.0" encoding="utf-8"?>
<comments xmlns="http://schemas.openxmlformats.org/spreadsheetml/2006/main">
  <authors>
    <author>Dan Lantz</author>
  </authors>
  <commentList>
    <comment ref="C4" authorId="0">
      <text>
        <r>
          <rPr>
            <b/>
            <sz val="8"/>
            <rFont val="Tahoma"/>
            <family val="2"/>
          </rPr>
          <t>This is the quantity of Blue Box Waste generated adjusted for population and waste generation growth based on the latest waste composition data and stewards reports.</t>
        </r>
      </text>
    </comment>
    <comment ref="E4" authorId="0">
      <text>
        <r>
          <rPr>
            <b/>
            <sz val="8"/>
            <rFont val="Tahoma"/>
            <family val="2"/>
          </rPr>
          <t>This is the quantity of Blue Box Waste recovered as reported from the approved WDO datacall with some additional allocations to material categories.</t>
        </r>
      </text>
    </comment>
  </commentList>
</comments>
</file>

<file path=xl/comments4.xml><?xml version="1.0" encoding="utf-8"?>
<comments xmlns="http://schemas.openxmlformats.org/spreadsheetml/2006/main">
  <authors>
    <author>dlantz</author>
    <author>Guy Perry</author>
  </authors>
  <commentList>
    <comment ref="A1" authorId="0">
      <text>
        <r>
          <rPr>
            <b/>
            <sz val="8"/>
            <rFont val="Tahoma"/>
            <family val="2"/>
          </rPr>
          <t>This first part of the table presents the gross cost, revenues and net cost per tonne for each blue box material, including the total estimated industry obligation.
The second part of the table shows the "cost" for the management of all blue box materials, assuming all are recovered to the same percentage.</t>
        </r>
        <r>
          <rPr>
            <sz val="8"/>
            <rFont val="Tahoma"/>
            <family val="2"/>
          </rPr>
          <t xml:space="preserve">
</t>
        </r>
      </text>
    </comment>
    <comment ref="J4" authorId="0">
      <text>
        <r>
          <rPr>
            <b/>
            <sz val="8"/>
            <rFont val="Tahoma"/>
            <family val="2"/>
          </rPr>
          <t>This section calculates the net cost for the management of each blue box materials and the net cost as a percentage of the total system.
At this point, the printed materials are separated from the packaging materials and the costs restated as a percentage of their respective main category (e.g., newspaper as a percentage of printed paper; corrugated containers as a percentage of packaging, etc.).</t>
        </r>
        <r>
          <rPr>
            <sz val="8"/>
            <rFont val="Tahoma"/>
            <family val="2"/>
          </rPr>
          <t xml:space="preserve">
</t>
        </r>
      </text>
    </comment>
    <comment ref="P4" authorId="0">
      <text>
        <r>
          <rPr>
            <b/>
            <sz val="8"/>
            <rFont val="Tahoma"/>
            <family val="2"/>
          </rPr>
          <t>This section shows the estimated cost that would be incurred by municipalities if they were to recover recyclables to the recovery rate.
It is based on the net cost per tonne multiplied by the total quantity of additional material required to achieve the set diversion rate.</t>
        </r>
      </text>
    </comment>
    <comment ref="J5" authorId="0">
      <text>
        <r>
          <rPr>
            <b/>
            <sz val="8"/>
            <rFont val="Tahoma"/>
            <family val="2"/>
          </rPr>
          <t xml:space="preserve">Represents the net cost per tonne (gross cost minus revenues). </t>
        </r>
        <r>
          <rPr>
            <b/>
            <sz val="8"/>
            <rFont val="Tahoma"/>
            <family val="2"/>
          </rPr>
          <t>Bracketed numbers mean revenues exceeded costs.</t>
        </r>
      </text>
    </comment>
    <comment ref="K5" authorId="0">
      <text>
        <r>
          <rPr>
            <b/>
            <sz val="8"/>
            <rFont val="Tahoma"/>
            <family val="2"/>
          </rPr>
          <t xml:space="preserve">Represents the total net cost for the management of each material. </t>
        </r>
        <r>
          <rPr>
            <b/>
            <sz val="8"/>
            <rFont val="Tahoma"/>
            <family val="2"/>
          </rPr>
          <t>Bracketed numbers mean revenues exceeded costs.</t>
        </r>
      </text>
    </comment>
    <comment ref="L5" authorId="0">
      <text>
        <r>
          <rPr>
            <b/>
            <sz val="8"/>
            <rFont val="Tahoma"/>
            <family val="2"/>
          </rPr>
          <t>Shows the percentage each material represents of the total net cost for managing all materials.</t>
        </r>
        <r>
          <rPr>
            <sz val="8"/>
            <rFont val="Tahoma"/>
            <family val="2"/>
          </rPr>
          <t xml:space="preserve">
</t>
        </r>
      </text>
    </comment>
    <comment ref="M5" authorId="0">
      <text>
        <r>
          <rPr>
            <b/>
            <sz val="8"/>
            <rFont val="Tahoma"/>
            <family val="2"/>
          </rPr>
          <t>Shows the percentage each printed material represents of the total net cost for managing all printed materials.</t>
        </r>
        <r>
          <rPr>
            <sz val="8"/>
            <rFont val="Tahoma"/>
            <family val="2"/>
          </rPr>
          <t xml:space="preserve">
</t>
        </r>
      </text>
    </comment>
    <comment ref="N5" authorId="0">
      <text>
        <r>
          <rPr>
            <b/>
            <sz val="8"/>
            <rFont val="Tahoma"/>
            <family val="2"/>
          </rPr>
          <t>Shows the percentage each packaging material represents of the total net cost for managing all packaging materials.</t>
        </r>
      </text>
    </comment>
    <comment ref="P5" authorId="0">
      <text>
        <r>
          <rPr>
            <b/>
            <sz val="8"/>
            <rFont val="Tahoma"/>
            <family val="2"/>
          </rPr>
          <t>Based on net cost per tonne multiplied by the total number of tonnes of material still required to be diverted to achieve the recovery rate.</t>
        </r>
        <r>
          <rPr>
            <sz val="8"/>
            <rFont val="Tahoma"/>
            <family val="2"/>
          </rPr>
          <t xml:space="preserve">
</t>
        </r>
      </text>
    </comment>
    <comment ref="Q5" authorId="0">
      <text>
        <r>
          <rPr>
            <b/>
            <sz val="8"/>
            <rFont val="Tahoma"/>
            <family val="2"/>
          </rPr>
          <t>Shows the percentage each material represents of the total net cost.</t>
        </r>
      </text>
    </comment>
    <comment ref="R5" authorId="0">
      <text>
        <r>
          <rPr>
            <b/>
            <sz val="8"/>
            <rFont val="Tahoma"/>
            <family val="2"/>
          </rPr>
          <t>Shows the percentage each printed material represents of the total net cost for managing all printed materials to the recovery rate.</t>
        </r>
      </text>
    </comment>
    <comment ref="S5" authorId="0">
      <text>
        <r>
          <rPr>
            <b/>
            <sz val="8"/>
            <rFont val="Tahoma"/>
            <family val="2"/>
          </rPr>
          <t>Shows the percentage each packaging material represents of the total net cost for managing all packaging materials to the recovery rate entered.</t>
        </r>
        <r>
          <rPr>
            <sz val="8"/>
            <rFont val="Tahoma"/>
            <family val="2"/>
          </rPr>
          <t xml:space="preserve">
</t>
        </r>
      </text>
    </comment>
    <comment ref="K43" authorId="0">
      <text>
        <r>
          <rPr>
            <b/>
            <sz val="8"/>
            <rFont val="Tahoma"/>
            <family val="2"/>
          </rPr>
          <t>This represents industry's allocation of the net costs against which stewards' fees will be calculated.</t>
        </r>
        <r>
          <rPr>
            <sz val="8"/>
            <rFont val="Tahoma"/>
            <family val="2"/>
          </rPr>
          <t xml:space="preserve">
</t>
        </r>
      </text>
    </comment>
    <comment ref="D5" authorId="1">
      <text>
        <r>
          <rPr>
            <b/>
            <sz val="8"/>
            <rFont val="Tahoma"/>
            <family val="2"/>
          </rPr>
          <t>These per-tonne figures are determined by calibrating the unit costs from the cost allocation studies to the approved gross system cost.</t>
        </r>
      </text>
    </comment>
    <comment ref="G5" authorId="1">
      <text>
        <r>
          <rPr>
            <b/>
            <sz val="8"/>
            <rFont val="Tahoma"/>
            <family val="2"/>
          </rPr>
          <t>These prices have been calibrated to the 3-year average reported revenue accounting for negative prices.</t>
        </r>
      </text>
    </comment>
  </commentList>
</comments>
</file>

<file path=xl/comments5.xml><?xml version="1.0" encoding="utf-8"?>
<comments xmlns="http://schemas.openxmlformats.org/spreadsheetml/2006/main">
  <authors>
    <author>Dan Lantz</author>
  </authors>
  <commentList>
    <comment ref="A1" authorId="0">
      <text>
        <r>
          <rPr>
            <b/>
            <sz val="8"/>
            <rFont val="Tahoma"/>
            <family val="2"/>
          </rPr>
          <t>This table calculates the base fees (based on the Recovery Rate, Net Cost and Equalization Factors) and the fees associated with common costs.</t>
        </r>
        <r>
          <rPr>
            <sz val="8"/>
            <rFont val="Tahoma"/>
            <family val="2"/>
          </rPr>
          <t xml:space="preserve">
</t>
        </r>
      </text>
    </comment>
    <comment ref="G3" authorId="0">
      <text>
        <r>
          <rPr>
            <b/>
            <sz val="8"/>
            <rFont val="Tahoma"/>
            <family val="2"/>
          </rPr>
          <t>The fees under this factor are allocated based on the percentage each material represents of the total net cost for the management of the blue box system as shown on the Gross &amp; Net Costs worksheet.</t>
        </r>
        <r>
          <rPr>
            <sz val="8"/>
            <rFont val="Tahoma"/>
            <family val="2"/>
          </rPr>
          <t xml:space="preserve">
</t>
        </r>
      </text>
    </comment>
    <comment ref="J3" authorId="0">
      <text>
        <r>
          <rPr>
            <b/>
            <sz val="8"/>
            <rFont val="Tahoma"/>
            <family val="2"/>
          </rPr>
          <t>The fees under this factor are allocated based on the percentage each material represents of the total additional net cost for the management of the blue box system at the assigned recovery rate as shown on the Gross &amp; Net Costs worksheet.</t>
        </r>
        <r>
          <rPr>
            <sz val="8"/>
            <rFont val="Tahoma"/>
            <family val="2"/>
          </rPr>
          <t xml:space="preserve">
</t>
        </r>
      </text>
    </comment>
    <comment ref="C4" authorId="0">
      <text>
        <r>
          <rPr>
            <b/>
            <sz val="8"/>
            <rFont val="Tahoma"/>
            <family val="2"/>
          </rPr>
          <t>The data in this column are used to determine the fees assigned under this factor. They represent the recovery rate for each material subtracted from a value of 100% (equivalent to the percentage NOT recovered).</t>
        </r>
        <r>
          <rPr>
            <sz val="8"/>
            <rFont val="Tahoma"/>
            <family val="2"/>
          </rPr>
          <t xml:space="preserve">
</t>
        </r>
      </text>
    </comment>
    <comment ref="E4" authorId="0">
      <text>
        <r>
          <rPr>
            <b/>
            <sz val="8"/>
            <rFont val="Tahoma"/>
            <family val="2"/>
          </rPr>
          <t>This shows the fees that are assigned to each material through the application of this factor.</t>
        </r>
        <r>
          <rPr>
            <sz val="8"/>
            <rFont val="Tahoma"/>
            <family val="2"/>
          </rPr>
          <t xml:space="preserve">
</t>
        </r>
      </text>
    </comment>
    <comment ref="H4" authorId="0">
      <text>
        <r>
          <rPr>
            <b/>
            <sz val="8"/>
            <rFont val="Tahoma"/>
            <family val="2"/>
          </rPr>
          <t>This shows the fees that are assigned to each material through the application of this factor.</t>
        </r>
        <r>
          <rPr>
            <sz val="8"/>
            <rFont val="Tahoma"/>
            <family val="2"/>
          </rPr>
          <t xml:space="preserve">
</t>
        </r>
      </text>
    </comment>
    <comment ref="K4" authorId="0">
      <text>
        <r>
          <rPr>
            <b/>
            <sz val="8"/>
            <rFont val="Tahoma"/>
            <family val="2"/>
          </rPr>
          <t>This shows the fees that are assigned to each material through the application of this factor.</t>
        </r>
        <r>
          <rPr>
            <sz val="8"/>
            <rFont val="Tahoma"/>
            <family val="2"/>
          </rPr>
          <t xml:space="preserve">
</t>
        </r>
      </text>
    </comment>
    <comment ref="L4" authorId="0">
      <text>
        <r>
          <rPr>
            <b/>
            <sz val="8"/>
            <rFont val="Tahoma"/>
            <family val="2"/>
          </rPr>
          <t>This represents the recovery rate fee assigned on a per tonne basis.  It shows that the fees paid are inverse to the recovery rate (i.e., the higher the recovery rate, the lower the fee per tonne).</t>
        </r>
        <r>
          <rPr>
            <sz val="8"/>
            <rFont val="Tahoma"/>
            <family val="2"/>
          </rPr>
          <t xml:space="preserve">
</t>
        </r>
      </text>
    </comment>
    <comment ref="M4" authorId="0">
      <text>
        <r>
          <rPr>
            <b/>
            <sz val="8"/>
            <rFont val="Tahoma"/>
            <family val="2"/>
          </rPr>
          <t>This represents the total of the fees assigned under each of the three factors.</t>
        </r>
        <r>
          <rPr>
            <sz val="8"/>
            <rFont val="Tahoma"/>
            <family val="2"/>
          </rPr>
          <t xml:space="preserve">
</t>
        </r>
      </text>
    </comment>
    <comment ref="N4" authorId="0">
      <text>
        <r>
          <rPr>
            <b/>
            <sz val="8"/>
            <rFont val="Tahoma"/>
            <family val="2"/>
          </rPr>
          <t>Represents the Combined Base Allocated Fees divided by the total tonnes generated (by material).</t>
        </r>
        <r>
          <rPr>
            <sz val="8"/>
            <rFont val="Tahoma"/>
            <family val="2"/>
          </rPr>
          <t xml:space="preserve">
</t>
        </r>
      </text>
    </comment>
    <comment ref="P4" authorId="0">
      <text>
        <r>
          <rPr>
            <b/>
            <sz val="8"/>
            <rFont val="Tahoma"/>
            <family val="2"/>
          </rPr>
          <t>These columns are for market development and investment programs &amp; green procurement for specific materials.</t>
        </r>
        <r>
          <rPr>
            <sz val="8"/>
            <rFont val="Tahoma"/>
            <family val="2"/>
          </rPr>
          <t xml:space="preserve">
</t>
        </r>
      </text>
    </comment>
    <comment ref="Y4" authorId="0">
      <text>
        <r>
          <rPr>
            <b/>
            <sz val="8"/>
            <rFont val="Tahoma"/>
            <family val="2"/>
          </rPr>
          <t>Represents the sum of the base allocated fees and all other program fees allocated to each material.</t>
        </r>
      </text>
    </comment>
    <comment ref="Z4" authorId="0">
      <text>
        <r>
          <rPr>
            <b/>
            <sz val="8"/>
            <rFont val="Tahoma"/>
            <family val="2"/>
          </rPr>
          <t>Allocate any acceptable in kind service credited dollars to the appropriate material(s).</t>
        </r>
        <r>
          <rPr>
            <sz val="8"/>
            <rFont val="Tahoma"/>
            <family val="2"/>
          </rPr>
          <t xml:space="preserve">
</t>
        </r>
      </text>
    </comment>
    <comment ref="AA4" authorId="0">
      <text>
        <r>
          <rPr>
            <b/>
            <sz val="8"/>
            <rFont val="Tahoma"/>
            <family val="2"/>
          </rPr>
          <t>This represents the net allocation to each material after subtracting in-kind credits.</t>
        </r>
      </text>
    </comment>
    <comment ref="AI4" authorId="0">
      <text>
        <r>
          <rPr>
            <b/>
            <sz val="8"/>
            <rFont val="Tahoma"/>
            <family val="2"/>
          </rPr>
          <t>This is the final fee, shown in dollars per tonne and in cents per kilogram, for each material.</t>
        </r>
        <r>
          <rPr>
            <sz val="8"/>
            <rFont val="Tahoma"/>
            <family val="2"/>
          </rPr>
          <t xml:space="preserve">
</t>
        </r>
      </text>
    </comment>
    <comment ref="C6" authorId="0">
      <text>
        <r>
          <rPr>
            <b/>
            <sz val="8"/>
            <rFont val="Tahoma"/>
            <family val="2"/>
          </rPr>
          <t xml:space="preserve">Part of the total obligation to municipalities is allocated through the Recovery Rate Factor. </t>
        </r>
        <r>
          <rPr>
            <b/>
            <sz val="8"/>
            <rFont val="Tahoma"/>
            <family val="2"/>
          </rPr>
          <t>The percentage can be adjusted to show how changing the weight given to Recovery Rate affects the fees paid by material type.</t>
        </r>
      </text>
    </comment>
    <comment ref="G6" authorId="0">
      <text>
        <r>
          <rPr>
            <b/>
            <sz val="8"/>
            <rFont val="Tahoma"/>
            <family val="2"/>
          </rPr>
          <t>Part of the total obligation to municipalities is allocated through the Net Cost Factor. The percentage can be adjusted to show how changing the weight given to Net Cost affects the fees paid by material type.</t>
        </r>
      </text>
    </comment>
    <comment ref="J6" authorId="0">
      <text>
        <r>
          <rPr>
            <b/>
            <sz val="8"/>
            <rFont val="Tahoma"/>
            <family val="2"/>
          </rPr>
          <t>Part of the total obligation to municipalities is allocated through the Equalization Factor. The percentage can be adjusted to show how changing the weight given to Equalization affects the fees paid by material type.</t>
        </r>
        <r>
          <rPr>
            <sz val="8"/>
            <rFont val="Tahoma"/>
            <family val="2"/>
          </rPr>
          <t xml:space="preserve">
</t>
        </r>
      </text>
    </comment>
    <comment ref="B40" authorId="0">
      <text>
        <r>
          <rPr>
            <b/>
            <sz val="8"/>
            <rFont val="Tahoma"/>
            <family val="2"/>
          </rPr>
          <t>Allocations to printed paper are based on percentage that printed paper represents of the net cost for the management of all materials in the blue box program.</t>
        </r>
        <r>
          <rPr>
            <sz val="8"/>
            <rFont val="Tahoma"/>
            <family val="2"/>
          </rPr>
          <t xml:space="preserve">
</t>
        </r>
      </text>
    </comment>
    <comment ref="B41" authorId="0">
      <text>
        <r>
          <rPr>
            <b/>
            <sz val="8"/>
            <rFont val="Tahoma"/>
            <family val="2"/>
          </rPr>
          <t>Allocations to packaging are based on percentage that packaging represents of the net cost for the management of all materials in the blue box program.</t>
        </r>
        <r>
          <rPr>
            <sz val="8"/>
            <rFont val="Tahoma"/>
            <family val="2"/>
          </rPr>
          <t xml:space="preserve">
</t>
        </r>
      </text>
    </comment>
  </commentList>
</comments>
</file>

<file path=xl/sharedStrings.xml><?xml version="1.0" encoding="utf-8"?>
<sst xmlns="http://schemas.openxmlformats.org/spreadsheetml/2006/main" count="425" uniqueCount="215">
  <si>
    <t>Printed Paper</t>
  </si>
  <si>
    <t>Telephone Books</t>
  </si>
  <si>
    <t>Other Printed Paper</t>
  </si>
  <si>
    <t>Magazines and Catalogues</t>
  </si>
  <si>
    <t>Paper Packaging</t>
  </si>
  <si>
    <t>Aseptic Containers</t>
  </si>
  <si>
    <t>Plastic Film</t>
  </si>
  <si>
    <t>Polystyrene</t>
  </si>
  <si>
    <t>Other Plastics</t>
  </si>
  <si>
    <t>Aluminum</t>
  </si>
  <si>
    <t>Glass</t>
  </si>
  <si>
    <t>Revenues</t>
  </si>
  <si>
    <t>Net Cost</t>
  </si>
  <si>
    <t>Total</t>
  </si>
  <si>
    <t>Weight</t>
  </si>
  <si>
    <t>Material</t>
  </si>
  <si>
    <t>Industry Allocation</t>
  </si>
  <si>
    <t>($/tonne)</t>
  </si>
  <si>
    <t>Weight for Factor</t>
  </si>
  <si>
    <t>Category</t>
  </si>
  <si>
    <t>Total Cost</t>
  </si>
  <si>
    <t>Paper Pack'g Total</t>
  </si>
  <si>
    <t>Plastics Total</t>
  </si>
  <si>
    <t>Aluminum Total</t>
  </si>
  <si>
    <t>Glass Total</t>
  </si>
  <si>
    <t>Printed Paper Total</t>
  </si>
  <si>
    <t>TOTALS</t>
  </si>
  <si>
    <t>Recovery Rate</t>
  </si>
  <si>
    <t>Packaging</t>
  </si>
  <si>
    <t>ONP In Kind Contribution</t>
  </si>
  <si>
    <t>Net Cost Factor</t>
  </si>
  <si>
    <t>Equalization Factor</t>
  </si>
  <si>
    <t>Paper Packaging Total</t>
  </si>
  <si>
    <t>PACKAGING</t>
  </si>
  <si>
    <t>PRINTED PAPER</t>
  </si>
  <si>
    <t>PACKAGING TOTAL</t>
  </si>
  <si>
    <t>Steel</t>
  </si>
  <si>
    <t>Net Cost of Current System</t>
  </si>
  <si>
    <t>Factor Allocation to Printed Paper</t>
  </si>
  <si>
    <t>Factor Allocation to Packaging</t>
  </si>
  <si>
    <t>Allocated Printed Paper Cost</t>
  </si>
  <si>
    <t>Allocated Packaging Cost</t>
  </si>
  <si>
    <t xml:space="preserve">Paper Based </t>
  </si>
  <si>
    <t>Plastic Packaging</t>
  </si>
  <si>
    <t>Steel Packaging</t>
  </si>
  <si>
    <t>Aluminum Packaging</t>
  </si>
  <si>
    <t>Glass Packaging</t>
  </si>
  <si>
    <t>Steel Total</t>
  </si>
  <si>
    <t>Paper Based Packaging</t>
  </si>
  <si>
    <t>Other</t>
  </si>
  <si>
    <t>Density</t>
  </si>
  <si>
    <t>Volume</t>
  </si>
  <si>
    <t>Plastics Packaging</t>
  </si>
  <si>
    <t>Coloured Glass</t>
  </si>
  <si>
    <t>Recovery Rate Factor (1)</t>
  </si>
  <si>
    <t>m3</t>
  </si>
  <si>
    <t>kg/m3</t>
  </si>
  <si>
    <t>Allocation of Stewards Within Material Categories</t>
  </si>
  <si>
    <t>(tonnes)</t>
  </si>
  <si>
    <t>Assumed Recovery Rate</t>
  </si>
  <si>
    <t>Contributions</t>
  </si>
  <si>
    <t>Costs Allocated to Material Categories</t>
  </si>
  <si>
    <t>Market Development Programs</t>
  </si>
  <si>
    <t>(cents/kg)</t>
  </si>
  <si>
    <t>Quantity Generated</t>
  </si>
  <si>
    <t>Newsprint - Non-CNA/OCNA</t>
  </si>
  <si>
    <t>Table 1:  Generation and Recovery (full-year obligation)</t>
  </si>
  <si>
    <t>Table 2:  Gross and Net Costs (full-year obligation)</t>
  </si>
  <si>
    <t>%'age of Generated</t>
  </si>
  <si>
    <t>Quantity Recovered</t>
  </si>
  <si>
    <t>Quantity to Disposal</t>
  </si>
  <si>
    <t>% of Total Disposed</t>
  </si>
  <si>
    <t>Per-tonne</t>
  </si>
  <si>
    <t>Total Revenue</t>
  </si>
  <si>
    <t>Total Net Cost</t>
  </si>
  <si>
    <t>%'age of Net $</t>
  </si>
  <si>
    <t>%'age of Printed Cost</t>
  </si>
  <si>
    <t>%'age of Pckg Cost</t>
  </si>
  <si>
    <t>Recovery Rate Allocated Fee</t>
  </si>
  <si>
    <t>Rec. Rate Allocated Fee/Tonne Generated</t>
  </si>
  <si>
    <t>Net Cost Allocated Fee</t>
  </si>
  <si>
    <t>Net Cost Allocated Fee/Tonne Generated</t>
  </si>
  <si>
    <t>Equalization Allocated Fee</t>
  </si>
  <si>
    <t>Equalization Allocated Fee/Tonne Generated</t>
  </si>
  <si>
    <t>Combined Base Allocated Fees</t>
  </si>
  <si>
    <t>Base Fee Total Fee/Tonne Generated</t>
  </si>
  <si>
    <t>Total - Base + All Program + Start-up + Admin Fees</t>
  </si>
  <si>
    <t>Glass Market Programs</t>
  </si>
  <si>
    <t>Other Aluminum Packaging</t>
  </si>
  <si>
    <t>Newsprint - CNA/OCNA</t>
  </si>
  <si>
    <t>Percentage of Stewards</t>
  </si>
  <si>
    <t>Gross Cost</t>
  </si>
  <si>
    <t>Recovery Rate Factor Weighting</t>
  </si>
  <si>
    <t>Net Cost Factor Weighting</t>
  </si>
  <si>
    <t>Equalization Factor Weighting</t>
  </si>
  <si>
    <t>Diversion Target</t>
  </si>
  <si>
    <t>%</t>
  </si>
  <si>
    <t>Total Stewards</t>
  </si>
  <si>
    <t>Tonnes Disposed</t>
  </si>
  <si>
    <t>Model Inputs</t>
  </si>
  <si>
    <t>Steel Food &amp; Beverage Cans</t>
  </si>
  <si>
    <t>Steel Aerosols</t>
  </si>
  <si>
    <t>Steel Paint Cans</t>
  </si>
  <si>
    <t>Aluminum Food &amp; Beverage Cans</t>
  </si>
  <si>
    <t>Material Categories</t>
  </si>
  <si>
    <t>Notes</t>
  </si>
  <si>
    <t>(%)</t>
  </si>
  <si>
    <t>Gross Cost (Sheet2)</t>
  </si>
  <si>
    <t>Gross Revenue (Sheet 2)</t>
  </si>
  <si>
    <t>50% of Reported Net Cost</t>
  </si>
  <si>
    <t>Negotiated Cost Reduction (from Cost Bands)</t>
  </si>
  <si>
    <t>Obligation to Municipalities</t>
  </si>
  <si>
    <t>Net Total - Base + All Program + Start Up + Admin Fees, Less in-kind</t>
  </si>
  <si>
    <t>Basis for Distribution for Common Costs</t>
  </si>
  <si>
    <t>Factor Weightings Sheet 3</t>
  </si>
  <si>
    <t>Obligation Estimation (Sheet 3)</t>
  </si>
  <si>
    <t>Extent of Aggregation of Fee Rates</t>
  </si>
  <si>
    <t>Table 3:  Fee Schedule By Material Type (full-year obligation)</t>
  </si>
  <si>
    <t>Clear Glass</t>
  </si>
  <si>
    <t>1.  CNA/OCNA newsprint fee rates presented in this table include the full municipal obligation paid as an in-kind contribution</t>
  </si>
  <si>
    <t xml:space="preserve">2. Aggregation of printed paper is as follows: </t>
  </si>
  <si>
    <t>Composites Programs</t>
  </si>
  <si>
    <t>Plastics Market Programs</t>
  </si>
  <si>
    <t>Basis of Initial Allocation of Common Costs (Sheets 1 &amp; 3)</t>
  </si>
  <si>
    <t>CNA/OCNA in-kind contribution</t>
  </si>
  <si>
    <t>Municipal Obligation</t>
  </si>
  <si>
    <t>Common Costs (less credit)</t>
  </si>
  <si>
    <t>Cost to Manage Rest of 60%</t>
  </si>
  <si>
    <t>%'age Cost of Tonnes to 60%</t>
  </si>
  <si>
    <t>Fully Disaggregated Material Fee Rate
(In-Kind Not Included)</t>
  </si>
  <si>
    <t>Fully Disaggregated Material Fee Rate
(In-Kind Included)</t>
  </si>
  <si>
    <t>Common</t>
  </si>
  <si>
    <t>In-Kind</t>
  </si>
  <si>
    <t>Aggregated (cents/kg)</t>
  </si>
  <si>
    <t>Allocated CIF Funds</t>
  </si>
  <si>
    <t>2009 Fees</t>
  </si>
  <si>
    <t>Program Management</t>
  </si>
  <si>
    <t>Generation
(Sheet 1)</t>
  </si>
  <si>
    <t>Recovery
(Sheet 1)</t>
  </si>
  <si>
    <t>2010 Fees</t>
  </si>
  <si>
    <t>2011 Fees</t>
  </si>
  <si>
    <t>Percentage of Costs at 60% Recovery Rate</t>
  </si>
  <si>
    <t>Total Fees
(In-Kind Included)</t>
  </si>
  <si>
    <t>2012 Fees</t>
  </si>
  <si>
    <t>Total Fees (In-Kind Not Included)</t>
  </si>
  <si>
    <t>Corrugated Cardboard</t>
  </si>
  <si>
    <t>Gable Top Cartons</t>
  </si>
  <si>
    <t>Boxboard</t>
  </si>
  <si>
    <t>PET Bottles</t>
  </si>
  <si>
    <t>HDPE Bottles</t>
  </si>
  <si>
    <t>Plastic</t>
  </si>
  <si>
    <t>2013 Fees</t>
  </si>
  <si>
    <t>CNA/OCNA newsprint fee rates presented in this table cover the CNA/OCNA share of common costs and paid in cash</t>
  </si>
  <si>
    <t>A separate line below the table shows the in-kind contribution by CNA/OCNA</t>
  </si>
  <si>
    <t>2003 Fees</t>
  </si>
  <si>
    <t>2004 Fees</t>
  </si>
  <si>
    <t>2005 Fees</t>
  </si>
  <si>
    <t>2006 Fees</t>
  </si>
  <si>
    <t>2007 Fees</t>
  </si>
  <si>
    <t>2008 Fees</t>
  </si>
  <si>
    <t>(% disaggregated)</t>
  </si>
  <si>
    <t>Disaggregated (cents/kg)</t>
  </si>
  <si>
    <t>In Kind Credited $</t>
  </si>
  <si>
    <t>- Separate categories for 1) CNA/OCNA newsprint, 2) other newsprint and 3) magazines, telephone books and other printed paper</t>
  </si>
  <si>
    <t>- The fees for each of the newsprint categories are composed of two parts 1) a disaggregated part, and 2) an aggregated part</t>
  </si>
  <si>
    <t>- Similarly, the fee rate for magazines, telephone books and other printed paper is composed of two parts 1) a disaggregated part, and 2) an aggregated part</t>
  </si>
  <si>
    <t>- The purpose is to achieve a balance among competing issues between disaggregated and fully aggregated fee rates</t>
  </si>
  <si>
    <t xml:space="preserve">3. Aggregation of paper packaging is as follows: 1) cardboard &amp; boxboard into one fee and 2) gable top, paper laminants and aseptic into another fee </t>
  </si>
  <si>
    <t>4. Aggregation of plastic packaging is as follows: 1) PET, 2) HDPE and 3) film, plastic laminants, polystyrene and other plastics</t>
  </si>
  <si>
    <t>WDO and MOE</t>
  </si>
  <si>
    <t>Promotion &amp; Education</t>
  </si>
  <si>
    <t>BB System Transformation</t>
  </si>
  <si>
    <t>Newsprint–CNA/OCNA Members</t>
  </si>
  <si>
    <t>Other Newsprint–Non-CNA/OCNA Members</t>
  </si>
  <si>
    <t>Directories</t>
  </si>
  <si>
    <t>Other Printed Materials</t>
  </si>
  <si>
    <t>Boxboard and Other Paper Packaging</t>
  </si>
  <si>
    <t>Gable Top Containers</t>
  </si>
  <si>
    <t>Paper Laminates</t>
  </si>
  <si>
    <t>LDPE/HDPE Film</t>
  </si>
  <si>
    <t>LDPE/HDPE Film Carry-Out Bags</t>
  </si>
  <si>
    <t>Expanded Polystyrene</t>
  </si>
  <si>
    <t>Non-Expanded Polystyrene</t>
  </si>
  <si>
    <t>Natural and Synthetic Textiles</t>
  </si>
  <si>
    <t>Printed Materials</t>
  </si>
  <si>
    <t>Steel and Other Metal Packaging</t>
  </si>
  <si>
    <t>Plastic Laminates</t>
  </si>
  <si>
    <t>Other Steel and Metal Containers and Packaging</t>
  </si>
  <si>
    <t>Aluminum Food and Beverage Containers</t>
  </si>
  <si>
    <t>Material Categories - Steward Rules</t>
  </si>
  <si>
    <t>Historic Material Fee Rates</t>
  </si>
  <si>
    <t>Magazines, telephone books, other printed paper (partial aggregation)</t>
  </si>
  <si>
    <t>2014 Fees</t>
  </si>
  <si>
    <t>Cash to municipalities</t>
  </si>
  <si>
    <t>CIF</t>
  </si>
  <si>
    <t>Sales 2012</t>
  </si>
  <si>
    <t>Steel Aerosol Containers</t>
  </si>
  <si>
    <t>Aluminum Aerosol Containers</t>
  </si>
  <si>
    <t>2015 Fee Rates</t>
  </si>
  <si>
    <t>Model Parameters for Setting 2015 Fees</t>
  </si>
  <si>
    <t>Stewards Sales for 2013 (Sheet 3)</t>
  </si>
  <si>
    <t>2013 Tonnage Data</t>
  </si>
  <si>
    <t>2013 Cost &amp; Revenue Data</t>
  </si>
  <si>
    <t>2015 Blue Box Fee Schedule</t>
  </si>
  <si>
    <t>2015 Fees</t>
  </si>
  <si>
    <t>PLA, PHA, PHB</t>
  </si>
  <si>
    <t>PET Bottles &lt; 5 Litres</t>
  </si>
  <si>
    <t>HDPE Bottles and Jugs &lt; 5 Litres</t>
  </si>
  <si>
    <t>Other Plastic Packaging &lt; 5 Litres</t>
  </si>
  <si>
    <t>Other Plastic Packaging &gt;= 5 Litres</t>
  </si>
  <si>
    <t>PET Bottles &gt;= 5 Litres</t>
  </si>
  <si>
    <t>HDPE Bottles and Jugs &gt;= 5 Litres</t>
  </si>
  <si>
    <t>Market Development and R&amp;D</t>
  </si>
  <si>
    <t>Waste audits</t>
  </si>
  <si>
    <t>Market Development - Composites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</si>
</sst>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_(* #,##0.000_);_(* \(#,##0.000\);_(* &quot;-&quot;??_);_(@_)"/>
    <numFmt numFmtId="176" formatCode="_(* #,##0.0000_);_(* \(#,##0.0000\);_(* &quot;-&quot;??_);_(@_)"/>
    <numFmt numFmtId="177" formatCode="0.0000"/>
    <numFmt numFmtId="178" formatCode="0.000"/>
    <numFmt numFmtId="179" formatCode="_(&quot;$&quot;* #,##0_);_(&quot;$&quot;* \(#,##0\);_(&quot;$&quot;* &quot;-&quot;??_);_(@_)"/>
    <numFmt numFmtId="180" formatCode="&quot;$&quot;#,##0"/>
    <numFmt numFmtId="181" formatCode=";;"/>
    <numFmt numFmtId="182" formatCode="0.000%"/>
    <numFmt numFmtId="183" formatCode="#,##0.00&quot; ¢/kg&quot;"/>
    <numFmt numFmtId="184" formatCode="#,##0.000&quot; ¢/kg&quot;"/>
    <numFmt numFmtId="185" formatCode="&quot;Net Cost to Achieve &quot;0%\ &quot;Diversion Rate&quot;"/>
    <numFmt numFmtId="186" formatCode="&quot;$&quot;0.00&quot;/tonne&quot;"/>
    <numFmt numFmtId="187" formatCode="&quot;$&quot;0.00&quot; /tonne&quot;"/>
    <numFmt numFmtId="188" formatCode="0.0000000%"/>
    <numFmt numFmtId="189" formatCode="_(* #,##0.00000_);_(* \(#,##0.00000\);_(* &quot;-&quot;??_);_(@_)"/>
    <numFmt numFmtId="190" formatCode="_(* #,##0.0000000_);_(* \(#,##0.0000000\);_(* &quot;-&quot;??_);_(@_)"/>
    <numFmt numFmtId="191" formatCode="_(&quot;$&quot;* #,##0.00000_);_(&quot;$&quot;* \(#,##0.00000\);_(&quot;$&quot;* &quot;-&quot;??_);_(@_)"/>
    <numFmt numFmtId="192" formatCode="#,##0.000"/>
    <numFmt numFmtId="193" formatCode="#,##0.0000"/>
    <numFmt numFmtId="194" formatCode="&quot;$&quot;#,##0.0;[Red]\-&quot;$&quot;#,##0.0"/>
    <numFmt numFmtId="195" formatCode="_(&quot;$&quot;* #,##0.0_);_(&quot;$&quot;* \(#,##0.0\);_(&quot;$&quot;* &quot;-&quot;??_);_(@_)"/>
    <numFmt numFmtId="196" formatCode="_(&quot;$&quot;* #,##0.000_);_(&quot;$&quot;* \(#,##0.000\);_(&quot;$&quot;* &quot;-&quot;??_);_(@_)"/>
    <numFmt numFmtId="197" formatCode="#,##0.0"/>
    <numFmt numFmtId="198" formatCode="#,##0.00000"/>
    <numFmt numFmtId="199" formatCode="#,##0.000000"/>
    <numFmt numFmtId="200" formatCode="&quot;Yes&quot;;&quot;Yes&quot;;&quot;No&quot;"/>
    <numFmt numFmtId="201" formatCode="&quot;True&quot;;&quot;True&quot;;&quot;False&quot;"/>
    <numFmt numFmtId="202" formatCode="&quot;On&quot;;&quot;On&quot;;&quot;Off&quot;"/>
    <numFmt numFmtId="203" formatCode="[$€-2]\ #,##0.00_);[Red]\([$€-2]\ #,##0.00\)"/>
    <numFmt numFmtId="204" formatCode="0.00000"/>
    <numFmt numFmtId="205" formatCode="0.000000"/>
    <numFmt numFmtId="206" formatCode="_(&quot;$&quot;* #,##0.0000_);_(&quot;$&quot;* \(#,##0.0000\);_(&quot;$&quot;* &quot;-&quot;??_);_(@_)"/>
    <numFmt numFmtId="207" formatCode="_-&quot;$&quot;* #,##0.0_-;\-&quot;$&quot;* #,##0.0_-;_-&quot;$&quot;* &quot;-&quot;?_-;_-@_-"/>
    <numFmt numFmtId="208" formatCode="&quot;Net Cost to Achieve &quot;0%\ &quot;Recovery Rate&quot;"/>
  </numFmts>
  <fonts count="69">
    <font>
      <sz val="10"/>
      <name val="Arial"/>
      <family val="0"/>
    </font>
    <font>
      <b/>
      <sz val="10"/>
      <name val="Arial"/>
      <family val="2"/>
    </font>
    <font>
      <i/>
      <sz val="10"/>
      <name val="Arial"/>
      <family val="2"/>
    </font>
    <font>
      <b/>
      <sz val="12"/>
      <name val="Arial"/>
      <family val="2"/>
    </font>
    <font>
      <b/>
      <sz val="12"/>
      <color indexed="18"/>
      <name val="Arial"/>
      <family val="2"/>
    </font>
    <font>
      <b/>
      <sz val="10"/>
      <color indexed="10"/>
      <name val="Arial"/>
      <family val="2"/>
    </font>
    <font>
      <b/>
      <sz val="12"/>
      <color indexed="10"/>
      <name val="Arial"/>
      <family val="2"/>
    </font>
    <font>
      <sz val="10"/>
      <color indexed="10"/>
      <name val="Arial"/>
      <family val="2"/>
    </font>
    <font>
      <b/>
      <i/>
      <sz val="10"/>
      <name val="Arial"/>
      <family val="2"/>
    </font>
    <font>
      <b/>
      <sz val="12"/>
      <color indexed="12"/>
      <name val="Arial"/>
      <family val="2"/>
    </font>
    <font>
      <b/>
      <sz val="10"/>
      <color indexed="12"/>
      <name val="Arial"/>
      <family val="2"/>
    </font>
    <font>
      <sz val="8"/>
      <name val="Tahoma"/>
      <family val="2"/>
    </font>
    <font>
      <b/>
      <sz val="8"/>
      <name val="Tahoma"/>
      <family val="2"/>
    </font>
    <font>
      <b/>
      <i/>
      <sz val="10"/>
      <color indexed="10"/>
      <name val="Arial"/>
      <family val="2"/>
    </font>
    <font>
      <sz val="10"/>
      <color indexed="18"/>
      <name val="Arial"/>
      <family val="2"/>
    </font>
    <font>
      <u val="single"/>
      <sz val="10"/>
      <color indexed="36"/>
      <name val="Arial"/>
      <family val="2"/>
    </font>
    <font>
      <u val="single"/>
      <sz val="10"/>
      <color indexed="12"/>
      <name val="Arial"/>
      <family val="2"/>
    </font>
    <font>
      <b/>
      <sz val="11"/>
      <name val="Arial"/>
      <family val="2"/>
    </font>
    <font>
      <sz val="9"/>
      <name val="Arial"/>
      <family val="2"/>
    </font>
    <font>
      <b/>
      <sz val="20"/>
      <name val="Arial"/>
      <family val="2"/>
    </font>
    <font>
      <b/>
      <sz val="10"/>
      <color indexed="8"/>
      <name val="Arial"/>
      <family val="2"/>
    </font>
    <font>
      <sz val="10"/>
      <color indexed="8"/>
      <name val="Arial"/>
      <family val="2"/>
    </font>
    <font>
      <b/>
      <sz val="24"/>
      <name val="Arial"/>
      <family val="2"/>
    </font>
    <font>
      <sz val="24"/>
      <name val="Arial"/>
      <family val="2"/>
    </font>
    <font>
      <sz val="12"/>
      <name val="Arial"/>
      <family val="2"/>
    </font>
    <font>
      <b/>
      <sz val="11"/>
      <color indexed="10"/>
      <name val="Arial"/>
      <family val="2"/>
    </font>
    <font>
      <b/>
      <sz val="16"/>
      <color indexed="10"/>
      <name val="Arial"/>
      <family val="2"/>
    </font>
    <font>
      <sz val="20"/>
      <name val="Arial"/>
      <family val="2"/>
    </font>
    <font>
      <b/>
      <sz val="20"/>
      <color indexed="10"/>
      <name val="Arial"/>
      <family val="2"/>
    </font>
    <font>
      <b/>
      <i/>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name val="Arial"/>
      <family val="2"/>
    </font>
    <font>
      <sz val="11"/>
      <name val="Arial"/>
      <family val="2"/>
    </font>
    <font>
      <sz val="6.3"/>
      <color indexed="8"/>
      <name val="Arial"/>
      <family val="2"/>
    </font>
    <font>
      <sz val="10"/>
      <color indexed="12"/>
      <name val="Arial"/>
      <family val="2"/>
    </font>
    <font>
      <sz val="12"/>
      <color indexed="12"/>
      <name val="Arial"/>
      <family val="2"/>
    </font>
    <font>
      <sz val="12"/>
      <color indexed="62"/>
      <name val="Arial"/>
      <family val="2"/>
    </font>
    <font>
      <b/>
      <sz val="12"/>
      <color indexed="62"/>
      <name val="Arial"/>
      <family val="2"/>
    </font>
    <font>
      <sz val="12"/>
      <name val="Calibri"/>
      <family val="2"/>
    </font>
    <font>
      <sz val="10"/>
      <name val="Calibri"/>
      <family val="2"/>
    </font>
    <font>
      <b/>
      <sz val="12"/>
      <name val="Calibri"/>
      <family val="2"/>
    </font>
    <font>
      <b/>
      <sz val="18"/>
      <name val="Calibri"/>
      <family val="2"/>
    </font>
    <font>
      <sz val="18"/>
      <name val="Calibri"/>
      <family val="2"/>
    </font>
    <font>
      <b/>
      <sz val="11"/>
      <color indexed="12"/>
      <name val="Arial"/>
      <family val="2"/>
    </font>
    <font>
      <b/>
      <sz val="14"/>
      <color indexed="8"/>
      <name val="Arial"/>
      <family val="2"/>
    </font>
    <font>
      <sz val="10"/>
      <color rgb="FF0000FF"/>
      <name val="Arial"/>
      <family val="2"/>
    </font>
    <font>
      <b/>
      <sz val="10"/>
      <color rgb="FF0000FF"/>
      <name val="Arial"/>
      <family val="2"/>
    </font>
    <font>
      <sz val="12"/>
      <color rgb="FF0000FF"/>
      <name val="Arial"/>
      <family val="2"/>
    </font>
    <font>
      <sz val="12"/>
      <color theme="4" tint="-0.24997000396251678"/>
      <name val="Arial"/>
      <family val="2"/>
    </font>
    <font>
      <b/>
      <sz val="12"/>
      <color theme="4" tint="-0.24997000396251678"/>
      <name val="Arial"/>
      <family val="2"/>
    </font>
    <font>
      <b/>
      <sz val="11"/>
      <color rgb="FF0000FF"/>
      <name val="Arial"/>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gColor indexed="55"/>
        <bgColor indexed="9"/>
      </patternFill>
    </fill>
    <fill>
      <patternFill patternType="gray0625">
        <fgColor indexed="55"/>
      </patternFill>
    </fill>
    <fill>
      <patternFill patternType="gray0625">
        <fgColor indexed="15"/>
        <bgColor indexed="9"/>
      </patternFill>
    </fill>
    <fill>
      <patternFill patternType="gray0625">
        <fgColor indexed="45"/>
        <bgColor indexed="9"/>
      </patternFill>
    </fill>
    <fill>
      <patternFill patternType="lightGray">
        <fgColor indexed="15"/>
        <bgColor indexed="9"/>
      </patternFill>
    </fill>
    <fill>
      <patternFill patternType="lightGray">
        <fgColor indexed="46"/>
        <bgColor indexed="9"/>
      </patternFill>
    </fill>
    <fill>
      <patternFill patternType="gray125">
        <fgColor indexed="47"/>
        <bgColor indexed="9"/>
      </patternFill>
    </fill>
    <fill>
      <patternFill patternType="gray125">
        <fgColor indexed="24"/>
        <bgColor indexed="9"/>
      </patternFill>
    </fill>
    <fill>
      <patternFill patternType="gray125">
        <fgColor indexed="14"/>
        <bgColor indexed="9"/>
      </patternFill>
    </fill>
    <fill>
      <patternFill patternType="gray125">
        <fgColor indexed="42"/>
        <bgColor indexed="9"/>
      </patternFill>
    </fill>
    <fill>
      <patternFill patternType="gray125">
        <fgColor indexed="49"/>
        <bgColor indexed="9"/>
      </patternFill>
    </fill>
    <fill>
      <patternFill patternType="gray0625">
        <fgColor indexed="52"/>
        <bgColor indexed="9"/>
      </patternFill>
    </fill>
    <fill>
      <patternFill patternType="solid">
        <fgColor indexed="9"/>
        <bgColor indexed="64"/>
      </patternFill>
    </fill>
    <fill>
      <patternFill patternType="gray0625">
        <fgColor indexed="22"/>
      </patternFill>
    </fill>
  </fills>
  <borders count="1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color indexed="63"/>
      </top>
      <bottom style="hair"/>
    </border>
    <border>
      <left style="thin"/>
      <right style="medium"/>
      <top style="thin"/>
      <bottom style="hair"/>
    </border>
    <border>
      <left style="thin"/>
      <right style="medium"/>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thin"/>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medium"/>
      <right style="thin"/>
      <top>
        <color indexed="63"/>
      </top>
      <bottom style="thin"/>
    </border>
    <border>
      <left style="medium"/>
      <right>
        <color indexed="63"/>
      </right>
      <top style="thin"/>
      <bottom style="medium"/>
    </border>
    <border>
      <left>
        <color indexed="63"/>
      </left>
      <right style="thin"/>
      <top style="thin"/>
      <bottom style="thin"/>
    </border>
    <border>
      <left style="thin"/>
      <right style="medium"/>
      <top>
        <color indexed="63"/>
      </top>
      <bottom style="thin"/>
    </border>
    <border>
      <left style="medium"/>
      <right style="medium"/>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medium"/>
      <top style="thin"/>
      <bottom style="thin"/>
    </border>
    <border>
      <left style="medium"/>
      <right>
        <color indexed="63"/>
      </right>
      <top style="thin"/>
      <bottom style="thin"/>
    </border>
    <border>
      <left style="medium"/>
      <right style="thin"/>
      <top style="thin"/>
      <bottom style="hair"/>
    </border>
    <border>
      <left style="medium"/>
      <right style="medium"/>
      <top style="thin"/>
      <bottom style="hair"/>
    </border>
    <border>
      <left style="medium"/>
      <right style="medium"/>
      <top>
        <color indexed="63"/>
      </top>
      <bottom style="hair"/>
    </border>
    <border>
      <left style="thin"/>
      <right style="thin"/>
      <top style="thin"/>
      <bottom style="hair"/>
    </border>
    <border>
      <left style="medium"/>
      <right>
        <color indexed="63"/>
      </right>
      <top>
        <color indexed="63"/>
      </top>
      <bottom style="hair"/>
    </border>
    <border>
      <left style="medium"/>
      <right style="medium"/>
      <top style="hair"/>
      <bottom style="hair"/>
    </border>
    <border>
      <left style="thin"/>
      <right style="medium"/>
      <top style="hair"/>
      <bottom style="hair"/>
    </border>
    <border>
      <left style="medium"/>
      <right>
        <color indexed="63"/>
      </right>
      <top style="hair"/>
      <bottom style="hair"/>
    </border>
    <border>
      <left style="thin"/>
      <right style="medium"/>
      <top style="hair"/>
      <bottom>
        <color indexed="63"/>
      </bottom>
    </border>
    <border>
      <left style="medium"/>
      <right style="medium"/>
      <top style="hair"/>
      <bottom>
        <color indexed="63"/>
      </bottom>
    </border>
    <border>
      <left style="medium"/>
      <right>
        <color indexed="63"/>
      </right>
      <top style="hair"/>
      <bottom>
        <color indexed="63"/>
      </bottom>
    </border>
    <border>
      <left style="medium"/>
      <right style="medium"/>
      <top style="thin"/>
      <bottom style="medium"/>
    </border>
    <border>
      <left style="medium"/>
      <right style="medium"/>
      <top style="medium"/>
      <bottom style="thin"/>
    </border>
    <border>
      <left style="medium"/>
      <right>
        <color indexed="63"/>
      </right>
      <top style="medium"/>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color indexed="63"/>
      </top>
      <bottom style="medium"/>
    </border>
    <border>
      <left style="medium"/>
      <right style="thin"/>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color indexed="63"/>
      </right>
      <top style="medium"/>
      <bottom>
        <color indexed="63"/>
      </bottom>
    </border>
    <border>
      <left style="thin"/>
      <right style="thin"/>
      <top style="medium"/>
      <bottom>
        <color indexed="63"/>
      </bottom>
    </border>
    <border>
      <left style="medium"/>
      <right style="medium"/>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medium"/>
    </border>
    <border>
      <left style="medium"/>
      <right style="medium"/>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color indexed="63"/>
      </top>
      <bottom style="medium"/>
    </border>
    <border>
      <left style="thin"/>
      <right style="medium"/>
      <top style="medium"/>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medium"/>
    </border>
    <border>
      <left>
        <color indexed="63"/>
      </left>
      <right style="thin"/>
      <top style="thin"/>
      <bottom style="medium"/>
    </border>
    <border>
      <left>
        <color indexed="63"/>
      </left>
      <right style="medium"/>
      <top style="medium"/>
      <bottom style="medium"/>
    </border>
    <border>
      <left>
        <color indexed="63"/>
      </left>
      <right style="medium"/>
      <top>
        <color indexed="63"/>
      </top>
      <bottom style="thin"/>
    </border>
    <border>
      <left style="medium">
        <color indexed="10"/>
      </left>
      <right style="medium">
        <color indexed="10"/>
      </right>
      <top style="medium">
        <color indexed="10"/>
      </top>
      <bottom style="medium">
        <color indexed="10"/>
      </bottom>
    </border>
    <border>
      <left>
        <color indexed="63"/>
      </left>
      <right style="medium"/>
      <top style="medium"/>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hair"/>
    </border>
    <border>
      <left>
        <color indexed="63"/>
      </left>
      <right style="medium"/>
      <top style="thin"/>
      <bottom>
        <color indexed="63"/>
      </bottom>
    </border>
    <border>
      <left>
        <color indexed="63"/>
      </left>
      <right style="medium"/>
      <top style="hair"/>
      <bottom style="hair"/>
    </border>
    <border>
      <left>
        <color indexed="63"/>
      </left>
      <right style="medium"/>
      <top style="hair"/>
      <bottom>
        <color indexed="63"/>
      </bottom>
    </border>
    <border>
      <left>
        <color indexed="63"/>
      </left>
      <right style="medium"/>
      <top style="thin"/>
      <bottom style="double"/>
    </border>
    <border>
      <left>
        <color indexed="63"/>
      </left>
      <right style="medium"/>
      <top style="thin"/>
      <bottom style="hair"/>
    </border>
    <border>
      <left>
        <color indexed="63"/>
      </left>
      <right style="medium"/>
      <top style="hair"/>
      <bottom style="thin"/>
    </border>
    <border>
      <left>
        <color indexed="63"/>
      </left>
      <right style="medium"/>
      <top style="thin"/>
      <bottom style="medium"/>
    </border>
    <border>
      <left style="thin"/>
      <right>
        <color indexed="63"/>
      </right>
      <top style="thin"/>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medium"/>
      <top style="hair"/>
      <bottom style="thin"/>
    </border>
    <border>
      <left>
        <color indexed="63"/>
      </left>
      <right style="thin"/>
      <top style="medium"/>
      <bottom style="thin"/>
    </border>
    <border>
      <left style="medium"/>
      <right>
        <color indexed="63"/>
      </right>
      <top style="thin"/>
      <bottom style="hair"/>
    </border>
    <border>
      <left style="thin"/>
      <right>
        <color indexed="63"/>
      </right>
      <top style="thin"/>
      <bottom>
        <color indexed="63"/>
      </bottom>
    </border>
    <border>
      <left>
        <color indexed="63"/>
      </left>
      <right style="thin"/>
      <top style="medium"/>
      <bottom>
        <color indexed="63"/>
      </bottom>
    </border>
    <border>
      <left style="medium"/>
      <right style="medium"/>
      <top>
        <color indexed="63"/>
      </top>
      <bottom style="thin"/>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4" fillId="21" borderId="2" applyNumberFormat="0" applyAlignment="0" applyProtection="0"/>
    <xf numFmtId="0" fontId="34" fillId="21" borderId="2" applyNumberFormat="0" applyAlignment="0" applyProtection="0"/>
    <xf numFmtId="0" fontId="3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1053">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0" fontId="0" fillId="0" borderId="0" xfId="0" applyBorder="1" applyAlignment="1" applyProtection="1">
      <alignment vertical="center"/>
      <protection/>
    </xf>
    <xf numFmtId="181" fontId="0" fillId="0" borderId="0" xfId="0" applyNumberFormat="1" applyBorder="1" applyAlignment="1" applyProtection="1">
      <alignment vertical="center"/>
      <protection/>
    </xf>
    <xf numFmtId="179" fontId="3" fillId="0" borderId="0" xfId="99" applyNumberFormat="1" applyFont="1" applyBorder="1" applyAlignment="1" applyProtection="1">
      <alignment vertical="center"/>
      <protection/>
    </xf>
    <xf numFmtId="0" fontId="3" fillId="0" borderId="1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24" borderId="11" xfId="0" applyFont="1" applyFill="1" applyBorder="1" applyAlignment="1" applyProtection="1">
      <alignment horizontal="left" vertical="center"/>
      <protection/>
    </xf>
    <xf numFmtId="0" fontId="1" fillId="24" borderId="12" xfId="0" applyFont="1" applyFill="1" applyBorder="1" applyAlignment="1" applyProtection="1">
      <alignment vertical="center"/>
      <protection/>
    </xf>
    <xf numFmtId="10" fontId="1" fillId="24" borderId="12" xfId="143" applyNumberFormat="1" applyFont="1" applyFill="1" applyBorder="1" applyAlignment="1" applyProtection="1">
      <alignment vertical="center"/>
      <protection/>
    </xf>
    <xf numFmtId="173" fontId="1" fillId="24" borderId="12" xfId="96" applyNumberFormat="1" applyFont="1" applyFill="1" applyBorder="1" applyAlignment="1" applyProtection="1">
      <alignment vertical="center"/>
      <protection/>
    </xf>
    <xf numFmtId="173" fontId="1" fillId="24" borderId="13" xfId="96" applyNumberFormat="1" applyFont="1" applyFill="1" applyBorder="1" applyAlignment="1" applyProtection="1">
      <alignment vertical="center"/>
      <protection/>
    </xf>
    <xf numFmtId="170" fontId="1" fillId="24" borderId="11" xfId="99" applyFont="1" applyFill="1" applyBorder="1" applyAlignment="1" applyProtection="1">
      <alignment vertical="center"/>
      <protection/>
    </xf>
    <xf numFmtId="179" fontId="1" fillId="24" borderId="14" xfId="99" applyNumberFormat="1" applyFont="1" applyFill="1" applyBorder="1" applyAlignment="1" applyProtection="1">
      <alignment vertical="center"/>
      <protection/>
    </xf>
    <xf numFmtId="179" fontId="1" fillId="24" borderId="15" xfId="99" applyNumberFormat="1" applyFont="1" applyFill="1" applyBorder="1" applyAlignment="1" applyProtection="1">
      <alignment vertical="center"/>
      <protection/>
    </xf>
    <xf numFmtId="179" fontId="1" fillId="24" borderId="12" xfId="0" applyNumberFormat="1" applyFont="1" applyFill="1" applyBorder="1" applyAlignment="1" applyProtection="1">
      <alignment vertical="center"/>
      <protection/>
    </xf>
    <xf numFmtId="10" fontId="1" fillId="24" borderId="15" xfId="143" applyNumberFormat="1" applyFont="1" applyFill="1" applyBorder="1" applyAlignment="1" applyProtection="1">
      <alignment vertical="center"/>
      <protection/>
    </xf>
    <xf numFmtId="10" fontId="1" fillId="24" borderId="14" xfId="143" applyNumberFormat="1" applyFont="1" applyFill="1" applyBorder="1" applyAlignment="1" applyProtection="1">
      <alignment vertical="center"/>
      <protection/>
    </xf>
    <xf numFmtId="179" fontId="1" fillId="24" borderId="11" xfId="99" applyNumberFormat="1"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17" xfId="0" applyFont="1" applyFill="1" applyBorder="1" applyAlignment="1" applyProtection="1">
      <alignment vertical="center"/>
      <protection/>
    </xf>
    <xf numFmtId="179" fontId="0" fillId="0" borderId="16" xfId="99" applyNumberFormat="1" applyFont="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Border="1" applyAlignment="1" applyProtection="1">
      <alignment vertical="center"/>
      <protection/>
    </xf>
    <xf numFmtId="0" fontId="1" fillId="0" borderId="20" xfId="0" applyFont="1" applyFill="1" applyBorder="1" applyAlignment="1" applyProtection="1">
      <alignment vertical="center"/>
      <protection/>
    </xf>
    <xf numFmtId="0" fontId="0" fillId="0" borderId="21" xfId="0" applyBorder="1" applyAlignment="1" applyProtection="1">
      <alignment vertical="center"/>
      <protection/>
    </xf>
    <xf numFmtId="0" fontId="1" fillId="0" borderId="22" xfId="0" applyFont="1" applyFill="1" applyBorder="1" applyAlignment="1" applyProtection="1">
      <alignment vertical="center"/>
      <protection/>
    </xf>
    <xf numFmtId="0" fontId="0" fillId="0" borderId="23" xfId="0" applyBorder="1" applyAlignment="1" applyProtection="1">
      <alignment vertical="center"/>
      <protection/>
    </xf>
    <xf numFmtId="0" fontId="1" fillId="24" borderId="24" xfId="0" applyFont="1" applyFill="1" applyBorder="1" applyAlignment="1" applyProtection="1">
      <alignment horizontal="right" vertical="center"/>
      <protection/>
    </xf>
    <xf numFmtId="0" fontId="1" fillId="24" borderId="25" xfId="0" applyFont="1" applyFill="1" applyBorder="1" applyAlignment="1" applyProtection="1">
      <alignment vertical="center"/>
      <protection/>
    </xf>
    <xf numFmtId="173" fontId="1" fillId="24" borderId="25" xfId="96" applyNumberFormat="1" applyFont="1" applyFill="1" applyBorder="1" applyAlignment="1" applyProtection="1">
      <alignment vertical="center"/>
      <protection/>
    </xf>
    <xf numFmtId="173" fontId="1" fillId="24" borderId="26" xfId="96" applyNumberFormat="1" applyFont="1" applyFill="1" applyBorder="1" applyAlignment="1" applyProtection="1">
      <alignment vertical="center"/>
      <protection/>
    </xf>
    <xf numFmtId="170" fontId="1" fillId="24" borderId="24" xfId="99" applyFont="1" applyFill="1" applyBorder="1" applyAlignment="1" applyProtection="1">
      <alignment vertical="center"/>
      <protection/>
    </xf>
    <xf numFmtId="179" fontId="1" fillId="24" borderId="27" xfId="99" applyNumberFormat="1" applyFont="1" applyFill="1" applyBorder="1" applyAlignment="1" applyProtection="1">
      <alignment vertical="center"/>
      <protection/>
    </xf>
    <xf numFmtId="179" fontId="1" fillId="24" borderId="28" xfId="99" applyNumberFormat="1" applyFont="1" applyFill="1" applyBorder="1" applyAlignment="1" applyProtection="1">
      <alignment vertical="center"/>
      <protection/>
    </xf>
    <xf numFmtId="170" fontId="1" fillId="24" borderId="24" xfId="99" applyNumberFormat="1" applyFont="1" applyFill="1" applyBorder="1" applyAlignment="1" applyProtection="1">
      <alignment vertical="center"/>
      <protection/>
    </xf>
    <xf numFmtId="179" fontId="1" fillId="24" borderId="25" xfId="99" applyNumberFormat="1" applyFont="1" applyFill="1" applyBorder="1" applyAlignment="1" applyProtection="1">
      <alignment vertical="center"/>
      <protection/>
    </xf>
    <xf numFmtId="10" fontId="1" fillId="24" borderId="29" xfId="143" applyNumberFormat="1" applyFont="1" applyFill="1" applyBorder="1" applyAlignment="1" applyProtection="1">
      <alignment vertical="center"/>
      <protection/>
    </xf>
    <xf numFmtId="10" fontId="1" fillId="24" borderId="30" xfId="143" applyNumberFormat="1" applyFont="1" applyFill="1" applyBorder="1" applyAlignment="1" applyProtection="1">
      <alignment vertical="center"/>
      <protection/>
    </xf>
    <xf numFmtId="179" fontId="1" fillId="24" borderId="31" xfId="99" applyNumberFormat="1" applyFont="1" applyFill="1" applyBorder="1" applyAlignment="1" applyProtection="1">
      <alignment vertical="center"/>
      <protection/>
    </xf>
    <xf numFmtId="0" fontId="1" fillId="0" borderId="32" xfId="0" applyFont="1" applyFill="1" applyBorder="1" applyAlignment="1" applyProtection="1">
      <alignment horizontal="right" vertical="center"/>
      <protection/>
    </xf>
    <xf numFmtId="0" fontId="1" fillId="0" borderId="33" xfId="0" applyFont="1" applyFill="1" applyBorder="1" applyAlignment="1" applyProtection="1">
      <alignment vertical="center"/>
      <protection/>
    </xf>
    <xf numFmtId="10" fontId="1" fillId="0" borderId="33" xfId="143" applyNumberFormat="1" applyFont="1" applyFill="1" applyBorder="1" applyAlignment="1" applyProtection="1">
      <alignment vertical="center"/>
      <protection/>
    </xf>
    <xf numFmtId="173" fontId="1" fillId="0" borderId="33" xfId="96" applyNumberFormat="1" applyFont="1" applyFill="1" applyBorder="1" applyAlignment="1" applyProtection="1">
      <alignment vertical="center"/>
      <protection/>
    </xf>
    <xf numFmtId="173" fontId="1" fillId="0" borderId="34" xfId="96" applyNumberFormat="1" applyFont="1" applyFill="1" applyBorder="1" applyAlignment="1" applyProtection="1">
      <alignment vertical="center"/>
      <protection/>
    </xf>
    <xf numFmtId="170" fontId="1" fillId="0" borderId="32" xfId="99" applyFont="1" applyFill="1" applyBorder="1" applyAlignment="1" applyProtection="1">
      <alignment vertical="center"/>
      <protection/>
    </xf>
    <xf numFmtId="179" fontId="1" fillId="0" borderId="35" xfId="99" applyNumberFormat="1" applyFont="1" applyFill="1" applyBorder="1" applyAlignment="1" applyProtection="1">
      <alignment vertical="center"/>
      <protection/>
    </xf>
    <xf numFmtId="179" fontId="1" fillId="0" borderId="0" xfId="99" applyNumberFormat="1" applyFont="1" applyFill="1" applyBorder="1" applyAlignment="1" applyProtection="1">
      <alignment vertical="center"/>
      <protection/>
    </xf>
    <xf numFmtId="170" fontId="1" fillId="0" borderId="32" xfId="99" applyNumberFormat="1" applyFont="1" applyFill="1" applyBorder="1" applyAlignment="1" applyProtection="1">
      <alignment vertical="center"/>
      <protection/>
    </xf>
    <xf numFmtId="179" fontId="1" fillId="0" borderId="33" xfId="99" applyNumberFormat="1" applyFont="1" applyFill="1" applyBorder="1" applyAlignment="1" applyProtection="1">
      <alignment vertical="center"/>
      <protection/>
    </xf>
    <xf numFmtId="10" fontId="1" fillId="0" borderId="36" xfId="143" applyNumberFormat="1" applyFont="1" applyFill="1" applyBorder="1" applyAlignment="1" applyProtection="1">
      <alignment vertical="center"/>
      <protection/>
    </xf>
    <xf numFmtId="179" fontId="1" fillId="0" borderId="37" xfId="99" applyNumberFormat="1" applyFont="1" applyFill="1" applyBorder="1" applyAlignment="1" applyProtection="1">
      <alignment vertical="center"/>
      <protection/>
    </xf>
    <xf numFmtId="0" fontId="1" fillId="0" borderId="0" xfId="0" applyFont="1" applyFill="1" applyAlignment="1" applyProtection="1">
      <alignment vertical="center"/>
      <protection/>
    </xf>
    <xf numFmtId="0" fontId="3" fillId="25" borderId="38" xfId="0" applyFont="1" applyFill="1" applyBorder="1" applyAlignment="1" applyProtection="1">
      <alignment horizontal="left" vertical="center"/>
      <protection/>
    </xf>
    <xf numFmtId="0" fontId="1" fillId="25" borderId="39" xfId="0" applyFont="1" applyFill="1" applyBorder="1" applyAlignment="1" applyProtection="1">
      <alignment vertical="center"/>
      <protection/>
    </xf>
    <xf numFmtId="170" fontId="1" fillId="25" borderId="38" xfId="99" applyFont="1" applyFill="1" applyBorder="1" applyAlignment="1" applyProtection="1">
      <alignment vertical="center"/>
      <protection/>
    </xf>
    <xf numFmtId="179" fontId="1" fillId="25" borderId="40" xfId="99" applyNumberFormat="1" applyFont="1" applyFill="1" applyBorder="1" applyAlignment="1" applyProtection="1">
      <alignment vertical="center"/>
      <protection/>
    </xf>
    <xf numFmtId="179" fontId="1" fillId="25" borderId="41" xfId="99" applyNumberFormat="1" applyFont="1" applyFill="1" applyBorder="1" applyAlignment="1" applyProtection="1">
      <alignment vertical="center"/>
      <protection/>
    </xf>
    <xf numFmtId="170" fontId="1" fillId="25" borderId="38" xfId="99" applyNumberFormat="1" applyFont="1" applyFill="1" applyBorder="1" applyAlignment="1" applyProtection="1">
      <alignment vertical="center"/>
      <protection/>
    </xf>
    <xf numFmtId="179" fontId="1" fillId="25" borderId="39" xfId="99" applyNumberFormat="1" applyFont="1" applyFill="1" applyBorder="1" applyAlignment="1" applyProtection="1">
      <alignment vertical="center"/>
      <protection/>
    </xf>
    <xf numFmtId="10" fontId="1" fillId="25" borderId="41" xfId="143" applyNumberFormat="1" applyFont="1" applyFill="1" applyBorder="1" applyAlignment="1" applyProtection="1">
      <alignment vertical="center"/>
      <protection/>
    </xf>
    <xf numFmtId="179" fontId="1" fillId="25" borderId="38" xfId="99" applyNumberFormat="1" applyFont="1" applyFill="1" applyBorder="1" applyAlignment="1" applyProtection="1">
      <alignment vertical="center"/>
      <protection/>
    </xf>
    <xf numFmtId="0" fontId="1" fillId="24" borderId="11" xfId="0" applyFont="1" applyFill="1" applyBorder="1" applyAlignment="1" applyProtection="1">
      <alignment horizontal="right" vertical="center"/>
      <protection/>
    </xf>
    <xf numFmtId="170" fontId="1" fillId="24" borderId="11" xfId="99" applyNumberFormat="1" applyFont="1" applyFill="1" applyBorder="1" applyAlignment="1" applyProtection="1">
      <alignment vertical="center"/>
      <protection/>
    </xf>
    <xf numFmtId="179" fontId="1" fillId="24" borderId="12" xfId="99" applyNumberFormat="1" applyFont="1" applyFill="1" applyBorder="1" applyAlignment="1" applyProtection="1">
      <alignment vertical="center"/>
      <protection/>
    </xf>
    <xf numFmtId="0" fontId="1" fillId="0" borderId="31" xfId="0" applyFont="1" applyFill="1" applyBorder="1" applyAlignment="1" applyProtection="1">
      <alignment horizontal="right" vertical="center"/>
      <protection/>
    </xf>
    <xf numFmtId="0" fontId="1" fillId="0" borderId="42" xfId="0" applyFont="1" applyFill="1" applyBorder="1" applyAlignment="1" applyProtection="1">
      <alignment vertical="center"/>
      <protection/>
    </xf>
    <xf numFmtId="10" fontId="1" fillId="0" borderId="42" xfId="143" applyNumberFormat="1" applyFont="1" applyFill="1" applyBorder="1" applyAlignment="1" applyProtection="1">
      <alignment vertical="center"/>
      <protection/>
    </xf>
    <xf numFmtId="170" fontId="1" fillId="0" borderId="11" xfId="99" applyFont="1" applyFill="1" applyBorder="1" applyAlignment="1" applyProtection="1">
      <alignment vertical="center"/>
      <protection/>
    </xf>
    <xf numFmtId="179" fontId="1" fillId="0" borderId="30" xfId="99" applyNumberFormat="1" applyFont="1" applyFill="1" applyBorder="1" applyAlignment="1" applyProtection="1">
      <alignment vertical="center"/>
      <protection/>
    </xf>
    <xf numFmtId="179" fontId="1" fillId="0" borderId="29" xfId="99" applyNumberFormat="1" applyFont="1" applyFill="1" applyBorder="1" applyAlignment="1" applyProtection="1">
      <alignment vertical="center"/>
      <protection/>
    </xf>
    <xf numFmtId="170" fontId="1" fillId="0" borderId="11" xfId="99" applyNumberFormat="1" applyFont="1" applyFill="1" applyBorder="1" applyAlignment="1" applyProtection="1">
      <alignment vertical="center"/>
      <protection/>
    </xf>
    <xf numFmtId="179" fontId="1" fillId="0" borderId="42" xfId="99" applyNumberFormat="1" applyFont="1" applyFill="1" applyBorder="1" applyAlignment="1" applyProtection="1">
      <alignment vertical="center"/>
      <protection/>
    </xf>
    <xf numFmtId="10" fontId="1" fillId="0" borderId="29" xfId="143" applyNumberFormat="1" applyFont="1" applyFill="1" applyBorder="1" applyAlignment="1" applyProtection="1">
      <alignment vertical="center"/>
      <protection/>
    </xf>
    <xf numFmtId="10" fontId="1" fillId="0" borderId="30" xfId="143" applyNumberFormat="1" applyFont="1" applyFill="1" applyBorder="1" applyAlignment="1" applyProtection="1">
      <alignment vertical="center"/>
      <protection/>
    </xf>
    <xf numFmtId="179" fontId="1" fillId="0" borderId="31" xfId="99" applyNumberFormat="1" applyFont="1" applyFill="1" applyBorder="1" applyAlignment="1" applyProtection="1">
      <alignment vertical="center"/>
      <protection/>
    </xf>
    <xf numFmtId="0" fontId="1" fillId="24" borderId="31" xfId="0" applyFont="1" applyFill="1" applyBorder="1" applyAlignment="1" applyProtection="1">
      <alignment horizontal="left" vertical="center"/>
      <protection/>
    </xf>
    <xf numFmtId="0" fontId="1" fillId="24" borderId="42" xfId="0" applyFont="1" applyFill="1" applyBorder="1" applyAlignment="1" applyProtection="1">
      <alignment vertical="center"/>
      <protection/>
    </xf>
    <xf numFmtId="179" fontId="1" fillId="24" borderId="30" xfId="99" applyNumberFormat="1" applyFont="1" applyFill="1" applyBorder="1" applyAlignment="1" applyProtection="1">
      <alignment vertical="center"/>
      <protection/>
    </xf>
    <xf numFmtId="179" fontId="1" fillId="24" borderId="29" xfId="99" applyNumberFormat="1" applyFont="1" applyFill="1" applyBorder="1" applyAlignment="1" applyProtection="1">
      <alignment vertical="center"/>
      <protection/>
    </xf>
    <xf numFmtId="179" fontId="1" fillId="24" borderId="42" xfId="99" applyNumberFormat="1" applyFont="1" applyFill="1" applyBorder="1" applyAlignment="1" applyProtection="1">
      <alignment vertical="center"/>
      <protection/>
    </xf>
    <xf numFmtId="170" fontId="1" fillId="0" borderId="31" xfId="99" applyFont="1" applyFill="1" applyBorder="1" applyAlignment="1" applyProtection="1">
      <alignment vertical="center"/>
      <protection/>
    </xf>
    <xf numFmtId="170" fontId="1" fillId="0" borderId="31" xfId="99" applyNumberFormat="1" applyFont="1" applyFill="1" applyBorder="1" applyAlignment="1" applyProtection="1">
      <alignment vertical="center"/>
      <protection/>
    </xf>
    <xf numFmtId="0" fontId="1" fillId="24" borderId="43" xfId="0" applyFont="1" applyFill="1" applyBorder="1" applyAlignment="1" applyProtection="1">
      <alignment horizontal="right" vertical="center"/>
      <protection/>
    </xf>
    <xf numFmtId="0" fontId="1" fillId="24" borderId="44" xfId="0" applyFont="1" applyFill="1" applyBorder="1" applyAlignment="1" applyProtection="1">
      <alignment vertical="center"/>
      <protection/>
    </xf>
    <xf numFmtId="170" fontId="1" fillId="24" borderId="43" xfId="99" applyFont="1" applyFill="1" applyBorder="1" applyAlignment="1" applyProtection="1">
      <alignment vertical="center"/>
      <protection/>
    </xf>
    <xf numFmtId="179" fontId="17" fillId="24" borderId="45" xfId="99" applyNumberFormat="1" applyFont="1" applyFill="1" applyBorder="1" applyAlignment="1" applyProtection="1">
      <alignment vertical="center"/>
      <protection/>
    </xf>
    <xf numFmtId="179" fontId="1" fillId="24" borderId="46" xfId="99" applyNumberFormat="1" applyFont="1" applyFill="1" applyBorder="1" applyAlignment="1" applyProtection="1">
      <alignment vertical="center"/>
      <protection/>
    </xf>
    <xf numFmtId="170" fontId="1" fillId="24" borderId="43" xfId="99" applyNumberFormat="1" applyFont="1" applyFill="1" applyBorder="1" applyAlignment="1" applyProtection="1">
      <alignment vertical="center"/>
      <protection/>
    </xf>
    <xf numFmtId="179" fontId="17" fillId="24" borderId="44" xfId="99" applyNumberFormat="1" applyFont="1" applyFill="1" applyBorder="1" applyAlignment="1" applyProtection="1">
      <alignment vertical="center"/>
      <protection/>
    </xf>
    <xf numFmtId="10" fontId="1" fillId="24" borderId="46" xfId="143" applyNumberFormat="1" applyFont="1" applyFill="1" applyBorder="1" applyAlignment="1" applyProtection="1">
      <alignment vertical="center"/>
      <protection/>
    </xf>
    <xf numFmtId="179" fontId="17" fillId="24" borderId="43" xfId="99" applyNumberFormat="1" applyFont="1" applyFill="1" applyBorder="1" applyAlignment="1" applyProtection="1">
      <alignment vertical="center"/>
      <protection/>
    </xf>
    <xf numFmtId="0" fontId="1" fillId="0" borderId="47" xfId="0" applyFont="1" applyBorder="1" applyAlignment="1" applyProtection="1">
      <alignment vertical="center"/>
      <protection/>
    </xf>
    <xf numFmtId="0" fontId="1" fillId="0" borderId="48" xfId="0" applyFont="1" applyBorder="1" applyAlignment="1" applyProtection="1">
      <alignment vertical="center"/>
      <protection/>
    </xf>
    <xf numFmtId="173" fontId="0" fillId="0" borderId="0" xfId="96" applyNumberFormat="1" applyFont="1" applyAlignment="1" applyProtection="1">
      <alignment vertical="center"/>
      <protection/>
    </xf>
    <xf numFmtId="173" fontId="0" fillId="0" borderId="0" xfId="0" applyNumberFormat="1" applyAlignment="1" applyProtection="1">
      <alignment vertical="center"/>
      <protection/>
    </xf>
    <xf numFmtId="0" fontId="0" fillId="0" borderId="0" xfId="0" applyFill="1" applyAlignment="1" applyProtection="1">
      <alignment vertical="center"/>
      <protection/>
    </xf>
    <xf numFmtId="0" fontId="3" fillId="0" borderId="0" xfId="0" applyFont="1" applyAlignment="1" applyProtection="1">
      <alignment vertical="center"/>
      <protection/>
    </xf>
    <xf numFmtId="173" fontId="0" fillId="0" borderId="0" xfId="96" applyNumberFormat="1" applyFont="1" applyFill="1" applyBorder="1" applyAlignment="1" applyProtection="1">
      <alignment vertical="center"/>
      <protection/>
    </xf>
    <xf numFmtId="171" fontId="0" fillId="0" borderId="0" xfId="96" applyFont="1" applyAlignment="1" applyProtection="1">
      <alignment vertical="center"/>
      <protection/>
    </xf>
    <xf numFmtId="0" fontId="1" fillId="0" borderId="32" xfId="0" applyFont="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1" fillId="0" borderId="32" xfId="0" applyFont="1" applyBorder="1" applyAlignment="1" applyProtection="1">
      <alignment vertical="center"/>
      <protection/>
    </xf>
    <xf numFmtId="9" fontId="3" fillId="26" borderId="35" xfId="0" applyNumberFormat="1" applyFont="1" applyFill="1" applyBorder="1" applyAlignment="1" applyProtection="1">
      <alignment vertical="center"/>
      <protection/>
    </xf>
    <xf numFmtId="9" fontId="9" fillId="27" borderId="51" xfId="0" applyNumberFormat="1" applyFont="1" applyFill="1" applyBorder="1" applyAlignment="1" applyProtection="1">
      <alignment vertical="center"/>
      <protection/>
    </xf>
    <xf numFmtId="0" fontId="1" fillId="28" borderId="51" xfId="0" applyFont="1" applyFill="1" applyBorder="1" applyAlignment="1" applyProtection="1">
      <alignment vertical="center"/>
      <protection/>
    </xf>
    <xf numFmtId="179" fontId="1" fillId="29" borderId="52" xfId="99" applyNumberFormat="1" applyFont="1" applyFill="1" applyBorder="1" applyAlignment="1" applyProtection="1">
      <alignment horizontal="center" vertical="center"/>
      <protection/>
    </xf>
    <xf numFmtId="179" fontId="1" fillId="30" borderId="12" xfId="99" applyNumberFormat="1" applyFont="1" applyFill="1" applyBorder="1" applyAlignment="1" applyProtection="1">
      <alignment vertical="center"/>
      <protection/>
    </xf>
    <xf numFmtId="179" fontId="1" fillId="31" borderId="12" xfId="99" applyNumberFormat="1" applyFont="1" applyFill="1" applyBorder="1" applyAlignment="1" applyProtection="1">
      <alignment vertical="center"/>
      <protection/>
    </xf>
    <xf numFmtId="0" fontId="8" fillId="32" borderId="51" xfId="0" applyFont="1" applyFill="1" applyBorder="1" applyAlignment="1" applyProtection="1">
      <alignment horizontal="center" vertical="center"/>
      <protection/>
    </xf>
    <xf numFmtId="0" fontId="1" fillId="33" borderId="33" xfId="0" applyFont="1" applyFill="1" applyBorder="1" applyAlignment="1" applyProtection="1">
      <alignment vertical="center"/>
      <protection/>
    </xf>
    <xf numFmtId="0" fontId="1" fillId="34" borderId="51" xfId="0" applyFont="1" applyFill="1" applyBorder="1" applyAlignment="1" applyProtection="1">
      <alignment vertical="center"/>
      <protection/>
    </xf>
    <xf numFmtId="0" fontId="1" fillId="0" borderId="53" xfId="0" applyFont="1" applyBorder="1" applyAlignment="1" applyProtection="1">
      <alignment vertical="center"/>
      <protection/>
    </xf>
    <xf numFmtId="0" fontId="1" fillId="0" borderId="35" xfId="0" applyFont="1" applyBorder="1" applyAlignment="1" applyProtection="1">
      <alignment vertical="center"/>
      <protection/>
    </xf>
    <xf numFmtId="0" fontId="3" fillId="0" borderId="11" xfId="0" applyFont="1" applyFill="1" applyBorder="1" applyAlignment="1" applyProtection="1">
      <alignment horizontal="left" vertical="center"/>
      <protection/>
    </xf>
    <xf numFmtId="0" fontId="1" fillId="0" borderId="14" xfId="0" applyFont="1" applyFill="1" applyBorder="1" applyAlignment="1" applyProtection="1">
      <alignment vertical="center"/>
      <protection/>
    </xf>
    <xf numFmtId="10" fontId="1" fillId="0" borderId="12" xfId="143" applyNumberFormat="1" applyFont="1" applyFill="1" applyBorder="1" applyAlignment="1" applyProtection="1">
      <alignment vertical="center"/>
      <protection/>
    </xf>
    <xf numFmtId="10" fontId="1" fillId="0" borderId="14" xfId="143" applyNumberFormat="1" applyFont="1" applyFill="1" applyBorder="1" applyAlignment="1" applyProtection="1">
      <alignment vertical="center"/>
      <protection/>
    </xf>
    <xf numFmtId="175" fontId="1" fillId="26" borderId="12" xfId="96" applyNumberFormat="1" applyFont="1" applyFill="1" applyBorder="1" applyAlignment="1" applyProtection="1">
      <alignment vertical="center"/>
      <protection/>
    </xf>
    <xf numFmtId="179" fontId="1" fillId="26" borderId="14" xfId="99" applyNumberFormat="1" applyFont="1" applyFill="1" applyBorder="1" applyAlignment="1" applyProtection="1">
      <alignment vertical="center"/>
      <protection/>
    </xf>
    <xf numFmtId="170" fontId="10" fillId="26" borderId="54" xfId="99" applyNumberFormat="1" applyFont="1" applyFill="1" applyBorder="1" applyAlignment="1" applyProtection="1">
      <alignment vertical="center"/>
      <protection/>
    </xf>
    <xf numFmtId="179" fontId="1" fillId="35" borderId="14" xfId="99" applyNumberFormat="1" applyFont="1" applyFill="1" applyBorder="1" applyAlignment="1" applyProtection="1">
      <alignment vertical="center"/>
      <protection/>
    </xf>
    <xf numFmtId="170" fontId="10" fillId="35" borderId="54" xfId="99" applyNumberFormat="1" applyFont="1" applyFill="1" applyBorder="1" applyAlignment="1" applyProtection="1">
      <alignment vertical="center"/>
      <protection/>
    </xf>
    <xf numFmtId="179" fontId="1" fillId="27" borderId="14" xfId="99" applyNumberFormat="1" applyFont="1" applyFill="1" applyBorder="1" applyAlignment="1" applyProtection="1">
      <alignment vertical="center"/>
      <protection/>
    </xf>
    <xf numFmtId="170" fontId="10" fillId="27" borderId="54" xfId="99" applyNumberFormat="1" applyFont="1" applyFill="1" applyBorder="1" applyAlignment="1" applyProtection="1">
      <alignment vertical="center"/>
      <protection/>
    </xf>
    <xf numFmtId="179" fontId="1" fillId="28" borderId="54" xfId="99" applyNumberFormat="1" applyFont="1" applyFill="1" applyBorder="1" applyAlignment="1" applyProtection="1">
      <alignment vertical="center"/>
      <protection/>
    </xf>
    <xf numFmtId="3" fontId="1" fillId="29" borderId="11" xfId="99" applyNumberFormat="1" applyFont="1" applyFill="1" applyBorder="1" applyAlignment="1" applyProtection="1">
      <alignment vertical="center"/>
      <protection/>
    </xf>
    <xf numFmtId="181" fontId="1" fillId="29" borderId="49" xfId="99" applyNumberFormat="1" applyFont="1" applyFill="1" applyBorder="1" applyAlignment="1" applyProtection="1">
      <alignment vertical="center"/>
      <protection/>
    </xf>
    <xf numFmtId="3" fontId="0" fillId="31" borderId="12" xfId="99" applyNumberFormat="1" applyFont="1" applyFill="1" applyBorder="1" applyAlignment="1" applyProtection="1">
      <alignment vertical="center"/>
      <protection/>
    </xf>
    <xf numFmtId="3" fontId="8" fillId="32" borderId="54" xfId="99" applyNumberFormat="1" applyFont="1" applyFill="1" applyBorder="1" applyAlignment="1" applyProtection="1">
      <alignment horizontal="center" vertical="center"/>
      <protection/>
    </xf>
    <xf numFmtId="3" fontId="1" fillId="33" borderId="12" xfId="99" applyNumberFormat="1" applyFont="1" applyFill="1" applyBorder="1" applyAlignment="1" applyProtection="1">
      <alignment vertical="center"/>
      <protection/>
    </xf>
    <xf numFmtId="179" fontId="1" fillId="34" borderId="54" xfId="99" applyNumberFormat="1" applyFont="1" applyFill="1" applyBorder="1" applyAlignment="1" applyProtection="1">
      <alignment vertical="center"/>
      <protection/>
    </xf>
    <xf numFmtId="170" fontId="1" fillId="25" borderId="55" xfId="99" applyFont="1" applyFill="1" applyBorder="1" applyAlignment="1" applyProtection="1">
      <alignment vertical="center"/>
      <protection/>
    </xf>
    <xf numFmtId="183" fontId="1" fillId="25" borderId="14" xfId="96" applyNumberFormat="1" applyFont="1" applyFill="1" applyBorder="1" applyAlignment="1" applyProtection="1">
      <alignment vertical="center"/>
      <protection/>
    </xf>
    <xf numFmtId="0" fontId="1" fillId="0" borderId="56" xfId="0" applyFont="1" applyFill="1" applyBorder="1" applyAlignment="1" applyProtection="1">
      <alignment horizontal="left" vertical="center"/>
      <protection/>
    </xf>
    <xf numFmtId="179" fontId="0" fillId="26" borderId="18" xfId="99" applyNumberFormat="1" applyFont="1" applyFill="1" applyBorder="1" applyAlignment="1" applyProtection="1">
      <alignment vertical="center"/>
      <protection/>
    </xf>
    <xf numFmtId="170" fontId="10" fillId="26" borderId="57" xfId="99" applyNumberFormat="1" applyFont="1" applyFill="1" applyBorder="1" applyAlignment="1" applyProtection="1">
      <alignment vertical="center"/>
      <protection/>
    </xf>
    <xf numFmtId="179" fontId="0" fillId="35" borderId="18" xfId="99" applyNumberFormat="1" applyFont="1" applyFill="1" applyBorder="1" applyAlignment="1" applyProtection="1">
      <alignment vertical="center"/>
      <protection/>
    </xf>
    <xf numFmtId="170" fontId="10" fillId="35" borderId="57" xfId="99" applyNumberFormat="1" applyFont="1" applyFill="1" applyBorder="1" applyAlignment="1" applyProtection="1">
      <alignment vertical="center"/>
      <protection/>
    </xf>
    <xf numFmtId="179" fontId="0" fillId="27" borderId="18" xfId="99" applyNumberFormat="1" applyFont="1" applyFill="1" applyBorder="1" applyAlignment="1" applyProtection="1">
      <alignment vertical="center"/>
      <protection/>
    </xf>
    <xf numFmtId="170" fontId="10" fillId="27" borderId="57" xfId="99" applyNumberFormat="1" applyFont="1" applyFill="1" applyBorder="1" applyAlignment="1" applyProtection="1">
      <alignment vertical="center"/>
      <protection/>
    </xf>
    <xf numFmtId="179" fontId="0" fillId="28" borderId="58" xfId="99" applyNumberFormat="1" applyFont="1" applyFill="1" applyBorder="1" applyAlignment="1" applyProtection="1">
      <alignment vertical="center"/>
      <protection/>
    </xf>
    <xf numFmtId="179" fontId="0" fillId="29" borderId="59" xfId="99" applyNumberFormat="1" applyFont="1" applyFill="1" applyBorder="1" applyAlignment="1" applyProtection="1">
      <alignment vertical="center"/>
      <protection/>
    </xf>
    <xf numFmtId="179" fontId="0" fillId="30" borderId="19" xfId="99" applyNumberFormat="1" applyFont="1" applyFill="1" applyBorder="1" applyAlignment="1" applyProtection="1">
      <alignment vertical="center"/>
      <protection/>
    </xf>
    <xf numFmtId="179" fontId="0" fillId="32" borderId="58" xfId="99" applyNumberFormat="1" applyFont="1" applyFill="1" applyBorder="1" applyAlignment="1" applyProtection="1">
      <alignment vertical="center"/>
      <protection/>
    </xf>
    <xf numFmtId="179" fontId="0" fillId="33" borderId="59" xfId="99" applyNumberFormat="1" applyFont="1" applyFill="1" applyBorder="1" applyAlignment="1" applyProtection="1">
      <alignment vertical="center"/>
      <protection/>
    </xf>
    <xf numFmtId="179" fontId="0" fillId="34" borderId="58" xfId="99" applyNumberFormat="1" applyFont="1" applyFill="1" applyBorder="1" applyAlignment="1" applyProtection="1">
      <alignment vertical="center"/>
      <protection/>
    </xf>
    <xf numFmtId="187" fontId="1" fillId="0" borderId="60" xfId="99" applyNumberFormat="1" applyFont="1" applyFill="1" applyBorder="1" applyAlignment="1" applyProtection="1">
      <alignment horizontal="center" vertical="center"/>
      <protection/>
    </xf>
    <xf numFmtId="184" fontId="1" fillId="0" borderId="17" xfId="96" applyNumberFormat="1" applyFont="1" applyFill="1" applyBorder="1" applyAlignment="1" applyProtection="1">
      <alignment horizontal="center" vertical="center"/>
      <protection/>
    </xf>
    <xf numFmtId="0" fontId="1" fillId="0" borderId="16" xfId="0" applyFont="1" applyFill="1" applyBorder="1" applyAlignment="1" applyProtection="1">
      <alignment horizontal="left" vertical="center"/>
      <protection/>
    </xf>
    <xf numFmtId="179" fontId="0" fillId="33" borderId="19" xfId="99" applyNumberFormat="1" applyFont="1" applyFill="1" applyBorder="1" applyAlignment="1" applyProtection="1">
      <alignment vertical="center"/>
      <protection/>
    </xf>
    <xf numFmtId="0" fontId="0" fillId="0" borderId="18" xfId="0" applyFill="1" applyBorder="1" applyAlignment="1" applyProtection="1">
      <alignment vertical="center"/>
      <protection/>
    </xf>
    <xf numFmtId="170" fontId="10" fillId="26" borderId="61" xfId="99" applyNumberFormat="1" applyFont="1" applyFill="1" applyBorder="1" applyAlignment="1" applyProtection="1">
      <alignment vertical="center"/>
      <protection/>
    </xf>
    <xf numFmtId="170" fontId="10" fillId="35" borderId="61" xfId="99" applyNumberFormat="1" applyFont="1" applyFill="1" applyBorder="1" applyAlignment="1" applyProtection="1">
      <alignment vertical="center"/>
      <protection/>
    </xf>
    <xf numFmtId="170" fontId="10" fillId="27" borderId="61" xfId="99" applyNumberFormat="1" applyFont="1" applyFill="1" applyBorder="1" applyAlignment="1" applyProtection="1">
      <alignment vertical="center"/>
      <protection/>
    </xf>
    <xf numFmtId="179" fontId="0" fillId="29" borderId="19" xfId="99" applyNumberFormat="1" applyFont="1" applyFill="1" applyBorder="1" applyAlignment="1" applyProtection="1">
      <alignment vertical="center"/>
      <protection/>
    </xf>
    <xf numFmtId="184" fontId="1" fillId="0" borderId="18" xfId="96" applyNumberFormat="1" applyFont="1" applyFill="1" applyBorder="1" applyAlignment="1" applyProtection="1">
      <alignment horizontal="center" vertical="center"/>
      <protection/>
    </xf>
    <xf numFmtId="0" fontId="0" fillId="0" borderId="62" xfId="0" applyFill="1" applyBorder="1" applyAlignment="1" applyProtection="1">
      <alignment vertical="center"/>
      <protection/>
    </xf>
    <xf numFmtId="179" fontId="0" fillId="35" borderId="62" xfId="99" applyNumberFormat="1" applyFont="1" applyFill="1" applyBorder="1" applyAlignment="1" applyProtection="1">
      <alignment vertical="center"/>
      <protection/>
    </xf>
    <xf numFmtId="179" fontId="0" fillId="27" borderId="62" xfId="99" applyNumberFormat="1" applyFont="1" applyFill="1" applyBorder="1" applyAlignment="1" applyProtection="1">
      <alignment vertical="center"/>
      <protection/>
    </xf>
    <xf numFmtId="179" fontId="0" fillId="28" borderId="61" xfId="99" applyNumberFormat="1" applyFont="1" applyFill="1" applyBorder="1" applyAlignment="1" applyProtection="1">
      <alignment vertical="center"/>
      <protection/>
    </xf>
    <xf numFmtId="179" fontId="0" fillId="29" borderId="21" xfId="99" applyNumberFormat="1" applyFont="1" applyFill="1" applyBorder="1" applyAlignment="1" applyProtection="1">
      <alignment vertical="center"/>
      <protection/>
    </xf>
    <xf numFmtId="179" fontId="0" fillId="33" borderId="21" xfId="99" applyNumberFormat="1" applyFont="1" applyFill="1" applyBorder="1" applyAlignment="1" applyProtection="1">
      <alignment vertical="center"/>
      <protection/>
    </xf>
    <xf numFmtId="187" fontId="1" fillId="0" borderId="63" xfId="99" applyNumberFormat="1" applyFont="1" applyFill="1" applyBorder="1" applyAlignment="1" applyProtection="1">
      <alignment horizontal="center" vertical="center"/>
      <protection/>
    </xf>
    <xf numFmtId="184" fontId="1" fillId="0" borderId="62" xfId="96" applyNumberFormat="1" applyFont="1" applyFill="1" applyBorder="1" applyAlignment="1" applyProtection="1">
      <alignment horizontal="center" vertical="center"/>
      <protection/>
    </xf>
    <xf numFmtId="0" fontId="0" fillId="0" borderId="64" xfId="0" applyFill="1" applyBorder="1" applyAlignment="1" applyProtection="1">
      <alignment vertical="center"/>
      <protection/>
    </xf>
    <xf numFmtId="179" fontId="0" fillId="35" borderId="64" xfId="99" applyNumberFormat="1" applyFont="1" applyFill="1" applyBorder="1" applyAlignment="1" applyProtection="1">
      <alignment vertical="center"/>
      <protection/>
    </xf>
    <xf numFmtId="179" fontId="0" fillId="27" borderId="64" xfId="99" applyNumberFormat="1" applyFont="1" applyFill="1" applyBorder="1" applyAlignment="1" applyProtection="1">
      <alignment vertical="center"/>
      <protection/>
    </xf>
    <xf numFmtId="179" fontId="0" fillId="28" borderId="65" xfId="99" applyNumberFormat="1" applyFont="1" applyFill="1" applyBorder="1" applyAlignment="1" applyProtection="1">
      <alignment vertical="center"/>
      <protection/>
    </xf>
    <xf numFmtId="179" fontId="0" fillId="29" borderId="23" xfId="99" applyNumberFormat="1" applyFont="1" applyFill="1" applyBorder="1" applyAlignment="1" applyProtection="1">
      <alignment vertical="center"/>
      <protection/>
    </xf>
    <xf numFmtId="179" fontId="0" fillId="33" borderId="23" xfId="99" applyNumberFormat="1" applyFont="1" applyFill="1" applyBorder="1" applyAlignment="1" applyProtection="1">
      <alignment vertical="center"/>
      <protection/>
    </xf>
    <xf numFmtId="187" fontId="1" fillId="36" borderId="66" xfId="0" applyNumberFormat="1" applyFont="1" applyFill="1" applyBorder="1" applyAlignment="1" applyProtection="1">
      <alignment horizontal="center" vertical="center"/>
      <protection/>
    </xf>
    <xf numFmtId="184" fontId="1" fillId="0" borderId="50" xfId="96" applyNumberFormat="1" applyFont="1" applyFill="1" applyBorder="1" applyAlignment="1" applyProtection="1">
      <alignment horizontal="center" vertical="center"/>
      <protection/>
    </xf>
    <xf numFmtId="0" fontId="1" fillId="25" borderId="24" xfId="0" applyFont="1" applyFill="1" applyBorder="1" applyAlignment="1" applyProtection="1">
      <alignment horizontal="left" vertical="center"/>
      <protection/>
    </xf>
    <xf numFmtId="0" fontId="1" fillId="25" borderId="27" xfId="0" applyFont="1" applyFill="1" applyBorder="1" applyAlignment="1" applyProtection="1">
      <alignment vertical="center"/>
      <protection/>
    </xf>
    <xf numFmtId="179" fontId="1" fillId="26" borderId="27" xfId="99" applyNumberFormat="1" applyFont="1" applyFill="1" applyBorder="1" applyAlignment="1" applyProtection="1">
      <alignment vertical="center"/>
      <protection/>
    </xf>
    <xf numFmtId="170" fontId="10" fillId="26" borderId="67" xfId="99" applyNumberFormat="1" applyFont="1" applyFill="1" applyBorder="1" applyAlignment="1" applyProtection="1">
      <alignment vertical="center"/>
      <protection/>
    </xf>
    <xf numFmtId="179" fontId="1" fillId="35" borderId="27" xfId="99" applyNumberFormat="1" applyFont="1" applyFill="1" applyBorder="1" applyAlignment="1" applyProtection="1">
      <alignment vertical="center"/>
      <protection/>
    </xf>
    <xf numFmtId="170" fontId="10" fillId="35" borderId="67" xfId="99" applyNumberFormat="1" applyFont="1" applyFill="1" applyBorder="1" applyAlignment="1" applyProtection="1">
      <alignment vertical="center"/>
      <protection/>
    </xf>
    <xf numFmtId="179" fontId="1" fillId="27" borderId="27" xfId="99" applyNumberFormat="1" applyFont="1" applyFill="1" applyBorder="1" applyAlignment="1" applyProtection="1">
      <alignment vertical="center"/>
      <protection/>
    </xf>
    <xf numFmtId="170" fontId="10" fillId="27" borderId="67" xfId="99" applyNumberFormat="1" applyFont="1" applyFill="1" applyBorder="1" applyAlignment="1" applyProtection="1">
      <alignment vertical="center"/>
      <protection/>
    </xf>
    <xf numFmtId="179" fontId="1" fillId="28" borderId="67" xfId="99" applyNumberFormat="1" applyFont="1" applyFill="1" applyBorder="1" applyAlignment="1" applyProtection="1">
      <alignment vertical="center"/>
      <protection/>
    </xf>
    <xf numFmtId="179" fontId="1" fillId="29" borderId="25" xfId="99" applyNumberFormat="1" applyFont="1" applyFill="1" applyBorder="1" applyAlignment="1" applyProtection="1">
      <alignment vertical="center"/>
      <protection/>
    </xf>
    <xf numFmtId="179" fontId="1" fillId="30" borderId="25" xfId="99" applyNumberFormat="1" applyFont="1" applyFill="1" applyBorder="1" applyAlignment="1" applyProtection="1">
      <alignment vertical="center"/>
      <protection/>
    </xf>
    <xf numFmtId="179" fontId="1" fillId="32" borderId="67" xfId="99" applyNumberFormat="1" applyFont="1" applyFill="1" applyBorder="1" applyAlignment="1" applyProtection="1">
      <alignment vertical="center"/>
      <protection/>
    </xf>
    <xf numFmtId="179" fontId="1" fillId="33" borderId="25" xfId="99" applyNumberFormat="1" applyFont="1" applyFill="1" applyBorder="1" applyAlignment="1" applyProtection="1">
      <alignment vertical="center"/>
      <protection/>
    </xf>
    <xf numFmtId="179" fontId="1" fillId="34" borderId="67" xfId="99" applyNumberFormat="1" applyFont="1" applyFill="1" applyBorder="1" applyAlignment="1" applyProtection="1">
      <alignment vertical="center"/>
      <protection/>
    </xf>
    <xf numFmtId="187" fontId="1" fillId="24" borderId="48" xfId="0" applyNumberFormat="1" applyFont="1" applyFill="1" applyBorder="1" applyAlignment="1" applyProtection="1">
      <alignment horizontal="center" vertical="center"/>
      <protection/>
    </xf>
    <xf numFmtId="184" fontId="1" fillId="25" borderId="27" xfId="96" applyNumberFormat="1" applyFont="1" applyFill="1" applyBorder="1" applyAlignment="1" applyProtection="1">
      <alignment horizontal="center" vertical="center"/>
      <protection/>
    </xf>
    <xf numFmtId="0" fontId="1" fillId="0" borderId="32" xfId="0" applyFont="1" applyFill="1" applyBorder="1" applyAlignment="1" applyProtection="1">
      <alignment horizontal="left" vertical="center"/>
      <protection/>
    </xf>
    <xf numFmtId="0" fontId="1" fillId="0" borderId="35" xfId="0" applyFont="1" applyFill="1" applyBorder="1" applyAlignment="1" applyProtection="1">
      <alignment vertical="center"/>
      <protection/>
    </xf>
    <xf numFmtId="10" fontId="1" fillId="0" borderId="35" xfId="143" applyNumberFormat="1" applyFont="1" applyFill="1" applyBorder="1" applyAlignment="1" applyProtection="1">
      <alignment vertical="center"/>
      <protection/>
    </xf>
    <xf numFmtId="179" fontId="1" fillId="26" borderId="35" xfId="99" applyNumberFormat="1" applyFont="1" applyFill="1" applyBorder="1" applyAlignment="1" applyProtection="1">
      <alignment vertical="center"/>
      <protection/>
    </xf>
    <xf numFmtId="170" fontId="10" fillId="26" borderId="51" xfId="99" applyNumberFormat="1" applyFont="1" applyFill="1" applyBorder="1" applyAlignment="1" applyProtection="1">
      <alignment vertical="center"/>
      <protection/>
    </xf>
    <xf numFmtId="179" fontId="1" fillId="35" borderId="35" xfId="99" applyNumberFormat="1" applyFont="1" applyFill="1" applyBorder="1" applyAlignment="1" applyProtection="1">
      <alignment vertical="center"/>
      <protection/>
    </xf>
    <xf numFmtId="170" fontId="10" fillId="35" borderId="51" xfId="99" applyNumberFormat="1" applyFont="1" applyFill="1" applyBorder="1" applyAlignment="1" applyProtection="1">
      <alignment vertical="center"/>
      <protection/>
    </xf>
    <xf numFmtId="179" fontId="1" fillId="27" borderId="35" xfId="99" applyNumberFormat="1" applyFont="1" applyFill="1" applyBorder="1" applyAlignment="1" applyProtection="1">
      <alignment vertical="center"/>
      <protection/>
    </xf>
    <xf numFmtId="170" fontId="10" fillId="27" borderId="51" xfId="99" applyNumberFormat="1" applyFont="1" applyFill="1" applyBorder="1" applyAlignment="1" applyProtection="1">
      <alignment vertical="center"/>
      <protection/>
    </xf>
    <xf numFmtId="179" fontId="1" fillId="28" borderId="51" xfId="99" applyNumberFormat="1" applyFont="1" applyFill="1" applyBorder="1" applyAlignment="1" applyProtection="1">
      <alignment vertical="center"/>
      <protection/>
    </xf>
    <xf numFmtId="179" fontId="1" fillId="29" borderId="33" xfId="99" applyNumberFormat="1" applyFont="1" applyFill="1" applyBorder="1" applyAlignment="1" applyProtection="1">
      <alignment vertical="center"/>
      <protection/>
    </xf>
    <xf numFmtId="179" fontId="1" fillId="30" borderId="33" xfId="99" applyNumberFormat="1" applyFont="1" applyFill="1" applyBorder="1" applyAlignment="1" applyProtection="1">
      <alignment vertical="center"/>
      <protection/>
    </xf>
    <xf numFmtId="179" fontId="1" fillId="32" borderId="51" xfId="99" applyNumberFormat="1" applyFont="1" applyFill="1" applyBorder="1" applyAlignment="1" applyProtection="1">
      <alignment vertical="center"/>
      <protection/>
    </xf>
    <xf numFmtId="179" fontId="1" fillId="33" borderId="33" xfId="99" applyNumberFormat="1" applyFont="1" applyFill="1" applyBorder="1" applyAlignment="1" applyProtection="1">
      <alignment vertical="center"/>
      <protection/>
    </xf>
    <xf numFmtId="179" fontId="1" fillId="34" borderId="51" xfId="99" applyNumberFormat="1" applyFont="1" applyFill="1" applyBorder="1" applyAlignment="1" applyProtection="1">
      <alignment vertical="center"/>
      <protection/>
    </xf>
    <xf numFmtId="187" fontId="1" fillId="0" borderId="53" xfId="0" applyNumberFormat="1" applyFont="1" applyFill="1" applyBorder="1" applyAlignment="1" applyProtection="1">
      <alignment horizontal="center" vertical="center"/>
      <protection/>
    </xf>
    <xf numFmtId="184" fontId="1" fillId="0" borderId="35" xfId="96" applyNumberFormat="1" applyFont="1" applyFill="1" applyBorder="1" applyAlignment="1" applyProtection="1">
      <alignment horizontal="center" vertical="center"/>
      <protection/>
    </xf>
    <xf numFmtId="0" fontId="3" fillId="37" borderId="38" xfId="0" applyFont="1" applyFill="1" applyBorder="1" applyAlignment="1" applyProtection="1">
      <alignment horizontal="left" vertical="center"/>
      <protection/>
    </xf>
    <xf numFmtId="0" fontId="1" fillId="37" borderId="40" xfId="0" applyFont="1" applyFill="1" applyBorder="1" applyAlignment="1" applyProtection="1">
      <alignment vertical="center"/>
      <protection/>
    </xf>
    <xf numFmtId="10" fontId="1" fillId="37" borderId="39" xfId="143" applyNumberFormat="1" applyFont="1" applyFill="1" applyBorder="1" applyAlignment="1" applyProtection="1">
      <alignment vertical="center"/>
      <protection/>
    </xf>
    <xf numFmtId="10" fontId="1" fillId="37" borderId="40" xfId="143" applyNumberFormat="1" applyFont="1" applyFill="1" applyBorder="1" applyAlignment="1" applyProtection="1">
      <alignment vertical="center"/>
      <protection/>
    </xf>
    <xf numFmtId="10" fontId="1" fillId="26" borderId="38" xfId="143" applyNumberFormat="1" applyFont="1" applyFill="1" applyBorder="1" applyAlignment="1" applyProtection="1">
      <alignment vertical="center"/>
      <protection/>
    </xf>
    <xf numFmtId="179" fontId="1" fillId="26" borderId="40" xfId="99" applyNumberFormat="1" applyFont="1" applyFill="1" applyBorder="1" applyAlignment="1" applyProtection="1">
      <alignment vertical="center"/>
      <protection/>
    </xf>
    <xf numFmtId="170" fontId="10" fillId="26" borderId="68" xfId="99" applyNumberFormat="1" applyFont="1" applyFill="1" applyBorder="1" applyAlignment="1" applyProtection="1">
      <alignment vertical="center"/>
      <protection/>
    </xf>
    <xf numFmtId="179" fontId="1" fillId="35" borderId="40" xfId="99" applyNumberFormat="1" applyFont="1" applyFill="1" applyBorder="1" applyAlignment="1" applyProtection="1">
      <alignment vertical="center"/>
      <protection/>
    </xf>
    <xf numFmtId="170" fontId="10" fillId="35" borderId="68" xfId="99" applyNumberFormat="1" applyFont="1" applyFill="1" applyBorder="1" applyAlignment="1" applyProtection="1">
      <alignment vertical="center"/>
      <protection/>
    </xf>
    <xf numFmtId="179" fontId="1" fillId="27" borderId="40" xfId="99" applyNumberFormat="1" applyFont="1" applyFill="1" applyBorder="1" applyAlignment="1" applyProtection="1">
      <alignment vertical="center"/>
      <protection/>
    </xf>
    <xf numFmtId="170" fontId="10" fillId="27" borderId="68" xfId="99" applyNumberFormat="1" applyFont="1" applyFill="1" applyBorder="1" applyAlignment="1" applyProtection="1">
      <alignment vertical="center"/>
      <protection/>
    </xf>
    <xf numFmtId="179" fontId="1" fillId="28" borderId="68" xfId="99" applyNumberFormat="1" applyFont="1" applyFill="1" applyBorder="1" applyAlignment="1" applyProtection="1">
      <alignment vertical="center"/>
      <protection/>
    </xf>
    <xf numFmtId="179" fontId="1" fillId="29" borderId="39" xfId="99" applyNumberFormat="1" applyFont="1" applyFill="1" applyBorder="1" applyAlignment="1" applyProtection="1">
      <alignment vertical="center"/>
      <protection/>
    </xf>
    <xf numFmtId="179" fontId="1" fillId="30" borderId="39" xfId="99" applyNumberFormat="1" applyFont="1" applyFill="1" applyBorder="1" applyAlignment="1" applyProtection="1">
      <alignment vertical="center"/>
      <protection/>
    </xf>
    <xf numFmtId="179" fontId="1" fillId="32" borderId="68" xfId="99" applyNumberFormat="1" applyFont="1" applyFill="1" applyBorder="1" applyAlignment="1" applyProtection="1">
      <alignment vertical="center"/>
      <protection/>
    </xf>
    <xf numFmtId="179" fontId="1" fillId="33" borderId="39" xfId="99" applyNumberFormat="1" applyFont="1" applyFill="1" applyBorder="1" applyAlignment="1" applyProtection="1">
      <alignment vertical="center"/>
      <protection/>
    </xf>
    <xf numFmtId="179" fontId="1" fillId="34" borderId="68" xfId="99" applyNumberFormat="1" applyFont="1" applyFill="1" applyBorder="1" applyAlignment="1" applyProtection="1">
      <alignment vertical="center"/>
      <protection/>
    </xf>
    <xf numFmtId="187" fontId="1" fillId="37" borderId="69" xfId="0" applyNumberFormat="1" applyFont="1" applyFill="1" applyBorder="1" applyAlignment="1" applyProtection="1">
      <alignment horizontal="center" vertical="center"/>
      <protection/>
    </xf>
    <xf numFmtId="184" fontId="1" fillId="37" borderId="40" xfId="96" applyNumberFormat="1" applyFont="1" applyFill="1" applyBorder="1" applyAlignment="1" applyProtection="1">
      <alignment horizontal="center" vertical="center"/>
      <protection/>
    </xf>
    <xf numFmtId="187" fontId="1" fillId="36" borderId="60" xfId="0" applyNumberFormat="1" applyFont="1" applyFill="1" applyBorder="1" applyAlignment="1" applyProtection="1">
      <alignment horizontal="center" vertical="center"/>
      <protection/>
    </xf>
    <xf numFmtId="187" fontId="1" fillId="36" borderId="63" xfId="0" applyNumberFormat="1" applyFont="1" applyFill="1" applyBorder="1" applyAlignment="1" applyProtection="1">
      <alignment horizontal="center" vertical="center"/>
      <protection/>
    </xf>
    <xf numFmtId="179" fontId="0" fillId="34" borderId="51" xfId="99" applyNumberFormat="1" applyFont="1" applyFill="1" applyBorder="1" applyAlignment="1" applyProtection="1">
      <alignment vertical="center"/>
      <protection/>
    </xf>
    <xf numFmtId="0" fontId="1" fillId="25" borderId="11" xfId="0" applyFont="1" applyFill="1" applyBorder="1" applyAlignment="1" applyProtection="1">
      <alignment horizontal="left" vertical="center"/>
      <protection/>
    </xf>
    <xf numFmtId="0" fontId="1" fillId="25" borderId="14" xfId="0" applyFont="1" applyFill="1" applyBorder="1" applyAlignment="1" applyProtection="1">
      <alignment vertical="center"/>
      <protection/>
    </xf>
    <xf numFmtId="179" fontId="1" fillId="29" borderId="12" xfId="99" applyNumberFormat="1" applyFont="1" applyFill="1" applyBorder="1" applyAlignment="1" applyProtection="1">
      <alignment vertical="center"/>
      <protection/>
    </xf>
    <xf numFmtId="179" fontId="1" fillId="32" borderId="54" xfId="99" applyNumberFormat="1" applyFont="1" applyFill="1" applyBorder="1" applyAlignment="1" applyProtection="1">
      <alignment vertical="center"/>
      <protection/>
    </xf>
    <xf numFmtId="179" fontId="1" fillId="33" borderId="12" xfId="99" applyNumberFormat="1" applyFont="1" applyFill="1" applyBorder="1" applyAlignment="1" applyProtection="1">
      <alignment vertical="center"/>
      <protection/>
    </xf>
    <xf numFmtId="0" fontId="1" fillId="0" borderId="56" xfId="0" applyFont="1" applyFill="1" applyBorder="1" applyAlignment="1" applyProtection="1">
      <alignment vertical="center"/>
      <protection/>
    </xf>
    <xf numFmtId="0" fontId="0" fillId="0" borderId="17" xfId="0" applyFill="1" applyBorder="1" applyAlignment="1" applyProtection="1">
      <alignment vertical="center"/>
      <protection/>
    </xf>
    <xf numFmtId="186" fontId="1" fillId="24" borderId="48" xfId="0" applyNumberFormat="1"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9" fontId="0" fillId="26" borderId="18" xfId="143" applyFont="1" applyFill="1" applyBorder="1" applyAlignment="1" applyProtection="1">
      <alignment vertical="center"/>
      <protection/>
    </xf>
    <xf numFmtId="181" fontId="0" fillId="35" borderId="16" xfId="143" applyNumberFormat="1" applyFont="1" applyFill="1" applyBorder="1" applyAlignment="1" applyProtection="1">
      <alignment vertical="center"/>
      <protection/>
    </xf>
    <xf numFmtId="171" fontId="0" fillId="35" borderId="18" xfId="0" applyNumberFormat="1" applyFill="1" applyBorder="1" applyAlignment="1" applyProtection="1">
      <alignment vertical="center"/>
      <protection/>
    </xf>
    <xf numFmtId="171" fontId="0" fillId="35" borderId="58" xfId="0" applyNumberFormat="1" applyFill="1" applyBorder="1" applyAlignment="1" applyProtection="1">
      <alignment vertical="center"/>
      <protection/>
    </xf>
    <xf numFmtId="181" fontId="0" fillId="27" borderId="16" xfId="143" applyNumberFormat="1" applyFont="1" applyFill="1" applyBorder="1" applyAlignment="1" applyProtection="1">
      <alignment vertical="center"/>
      <protection/>
    </xf>
    <xf numFmtId="181" fontId="0" fillId="27" borderId="18" xfId="0" applyNumberFormat="1" applyFill="1" applyBorder="1" applyAlignment="1" applyProtection="1">
      <alignment vertical="center"/>
      <protection/>
    </xf>
    <xf numFmtId="171" fontId="0" fillId="27" borderId="58" xfId="0" applyNumberFormat="1" applyFill="1" applyBorder="1" applyAlignment="1" applyProtection="1">
      <alignment vertical="center"/>
      <protection/>
    </xf>
    <xf numFmtId="179" fontId="1" fillId="28" borderId="58" xfId="99" applyNumberFormat="1" applyFont="1" applyFill="1" applyBorder="1" applyAlignment="1" applyProtection="1">
      <alignment vertical="center"/>
      <protection/>
    </xf>
    <xf numFmtId="179" fontId="1" fillId="29" borderId="60" xfId="99" applyNumberFormat="1" applyFont="1" applyFill="1" applyBorder="1" applyAlignment="1" applyProtection="1">
      <alignment vertical="center"/>
      <protection/>
    </xf>
    <xf numFmtId="179" fontId="1" fillId="31" borderId="19" xfId="99" applyNumberFormat="1" applyFont="1" applyFill="1" applyBorder="1" applyAlignment="1" applyProtection="1">
      <alignment vertical="center"/>
      <protection/>
    </xf>
    <xf numFmtId="179" fontId="1" fillId="32" borderId="58" xfId="99" applyNumberFormat="1" applyFont="1" applyFill="1" applyBorder="1" applyAlignment="1" applyProtection="1">
      <alignment vertical="center"/>
      <protection/>
    </xf>
    <xf numFmtId="179" fontId="1" fillId="33" borderId="19" xfId="99" applyNumberFormat="1" applyFont="1" applyFill="1" applyBorder="1" applyAlignment="1" applyProtection="1">
      <alignment vertical="center"/>
      <protection/>
    </xf>
    <xf numFmtId="179" fontId="1" fillId="34" borderId="58" xfId="99" applyNumberFormat="1" applyFont="1" applyFill="1" applyBorder="1" applyAlignment="1" applyProtection="1">
      <alignment vertical="center"/>
      <protection/>
    </xf>
    <xf numFmtId="171" fontId="0" fillId="36" borderId="60" xfId="0" applyNumberFormat="1" applyFill="1" applyBorder="1" applyAlignment="1" applyProtection="1">
      <alignment vertical="center"/>
      <protection/>
    </xf>
    <xf numFmtId="171" fontId="0" fillId="0" borderId="18" xfId="96" applyFont="1" applyFill="1" applyBorder="1" applyAlignment="1" applyProtection="1">
      <alignment vertical="center"/>
      <protection/>
    </xf>
    <xf numFmtId="0" fontId="3" fillId="0" borderId="11" xfId="0" applyFont="1" applyBorder="1" applyAlignment="1" applyProtection="1">
      <alignment vertical="center"/>
      <protection/>
    </xf>
    <xf numFmtId="0" fontId="4" fillId="0" borderId="14" xfId="0" applyFont="1" applyBorder="1" applyAlignment="1" applyProtection="1">
      <alignment horizontal="right" vertical="center"/>
      <protection/>
    </xf>
    <xf numFmtId="0" fontId="4" fillId="26" borderId="11" xfId="0" applyFont="1" applyFill="1" applyBorder="1" applyAlignment="1" applyProtection="1">
      <alignment vertical="center"/>
      <protection/>
    </xf>
    <xf numFmtId="181" fontId="4" fillId="26" borderId="12" xfId="0" applyNumberFormat="1" applyFont="1" applyFill="1" applyBorder="1" applyAlignment="1" applyProtection="1">
      <alignment vertical="center"/>
      <protection/>
    </xf>
    <xf numFmtId="179" fontId="4" fillId="26" borderId="14" xfId="99" applyNumberFormat="1" applyFont="1" applyFill="1" applyBorder="1" applyAlignment="1" applyProtection="1">
      <alignment vertical="center"/>
      <protection/>
    </xf>
    <xf numFmtId="179" fontId="4" fillId="26" borderId="54" xfId="0" applyNumberFormat="1" applyFont="1" applyFill="1" applyBorder="1" applyAlignment="1" applyProtection="1">
      <alignment vertical="center"/>
      <protection/>
    </xf>
    <xf numFmtId="0" fontId="4" fillId="35" borderId="11" xfId="0" applyFont="1" applyFill="1" applyBorder="1" applyAlignment="1" applyProtection="1">
      <alignment horizontal="right" vertical="center"/>
      <protection/>
    </xf>
    <xf numFmtId="179" fontId="4" fillId="35" borderId="14" xfId="99" applyNumberFormat="1" applyFont="1" applyFill="1" applyBorder="1" applyAlignment="1" applyProtection="1">
      <alignment vertical="center"/>
      <protection/>
    </xf>
    <xf numFmtId="179" fontId="4" fillId="35" borderId="54" xfId="99" applyNumberFormat="1" applyFont="1" applyFill="1" applyBorder="1" applyAlignment="1" applyProtection="1">
      <alignment vertical="center"/>
      <protection/>
    </xf>
    <xf numFmtId="0" fontId="4" fillId="27" borderId="11" xfId="0" applyFont="1" applyFill="1" applyBorder="1" applyAlignment="1" applyProtection="1">
      <alignment vertical="center"/>
      <protection/>
    </xf>
    <xf numFmtId="179" fontId="4" fillId="27" borderId="14" xfId="99" applyNumberFormat="1" applyFont="1" applyFill="1" applyBorder="1" applyAlignment="1" applyProtection="1">
      <alignment vertical="center"/>
      <protection/>
    </xf>
    <xf numFmtId="179" fontId="4" fillId="27" borderId="54" xfId="99" applyNumberFormat="1" applyFont="1" applyFill="1" applyBorder="1" applyAlignment="1" applyProtection="1">
      <alignment vertical="center"/>
      <protection/>
    </xf>
    <xf numFmtId="179" fontId="3" fillId="28" borderId="54" xfId="99" applyNumberFormat="1" applyFont="1" applyFill="1" applyBorder="1" applyAlignment="1" applyProtection="1">
      <alignment horizontal="right" vertical="center"/>
      <protection/>
    </xf>
    <xf numFmtId="179" fontId="3" fillId="29" borderId="55" xfId="99" applyNumberFormat="1" applyFont="1" applyFill="1" applyBorder="1" applyAlignment="1" applyProtection="1">
      <alignment horizontal="right" vertical="center"/>
      <protection/>
    </xf>
    <xf numFmtId="179" fontId="3" fillId="31" borderId="12" xfId="99" applyNumberFormat="1" applyFont="1" applyFill="1" applyBorder="1" applyAlignment="1" applyProtection="1">
      <alignment vertical="center"/>
      <protection/>
    </xf>
    <xf numFmtId="179" fontId="3" fillId="32" borderId="54" xfId="99" applyNumberFormat="1" applyFont="1" applyFill="1" applyBorder="1" applyAlignment="1" applyProtection="1">
      <alignment vertical="center"/>
      <protection/>
    </xf>
    <xf numFmtId="179" fontId="3" fillId="33" borderId="12" xfId="99" applyNumberFormat="1" applyFont="1" applyFill="1" applyBorder="1" applyAlignment="1" applyProtection="1">
      <alignment vertical="center"/>
      <protection/>
    </xf>
    <xf numFmtId="179" fontId="3" fillId="34" borderId="54" xfId="0" applyNumberFormat="1" applyFont="1" applyFill="1" applyBorder="1" applyAlignment="1" applyProtection="1">
      <alignment vertical="center"/>
      <protection/>
    </xf>
    <xf numFmtId="0" fontId="3" fillId="25" borderId="55" xfId="0" applyFont="1" applyFill="1" applyBorder="1" applyAlignment="1" applyProtection="1">
      <alignment vertical="center"/>
      <protection/>
    </xf>
    <xf numFmtId="0" fontId="1" fillId="0" borderId="70" xfId="0" applyFont="1" applyBorder="1" applyAlignment="1" applyProtection="1">
      <alignment vertical="center"/>
      <protection/>
    </xf>
    <xf numFmtId="0" fontId="4" fillId="0" borderId="71" xfId="0" applyFont="1" applyBorder="1" applyAlignment="1" applyProtection="1">
      <alignment horizontal="right" vertical="center"/>
      <protection/>
    </xf>
    <xf numFmtId="0" fontId="1" fillId="26" borderId="70" xfId="0" applyFont="1" applyFill="1" applyBorder="1" applyAlignment="1" applyProtection="1">
      <alignment vertical="center"/>
      <protection/>
    </xf>
    <xf numFmtId="0" fontId="1" fillId="26" borderId="72" xfId="0" applyFont="1" applyFill="1" applyBorder="1" applyAlignment="1" applyProtection="1">
      <alignment vertical="center"/>
      <protection/>
    </xf>
    <xf numFmtId="179" fontId="4" fillId="26" borderId="27" xfId="99" applyNumberFormat="1" applyFont="1" applyFill="1" applyBorder="1" applyAlignment="1" applyProtection="1">
      <alignment vertical="center"/>
      <protection/>
    </xf>
    <xf numFmtId="0" fontId="1" fillId="26" borderId="10" xfId="0" applyFont="1" applyFill="1" applyBorder="1" applyAlignment="1" applyProtection="1">
      <alignment vertical="center"/>
      <protection/>
    </xf>
    <xf numFmtId="0" fontId="1" fillId="35" borderId="70" xfId="0" applyFont="1" applyFill="1" applyBorder="1" applyAlignment="1" applyProtection="1">
      <alignment horizontal="right" vertical="center"/>
      <protection/>
    </xf>
    <xf numFmtId="179" fontId="4" fillId="35" borderId="27" xfId="99" applyNumberFormat="1" applyFont="1" applyFill="1" applyBorder="1" applyAlignment="1" applyProtection="1">
      <alignment vertical="center"/>
      <protection/>
    </xf>
    <xf numFmtId="179" fontId="4" fillId="35" borderId="10" xfId="99" applyNumberFormat="1" applyFont="1" applyFill="1" applyBorder="1" applyAlignment="1" applyProtection="1">
      <alignment vertical="center"/>
      <protection/>
    </xf>
    <xf numFmtId="0" fontId="1" fillId="27" borderId="70" xfId="0" applyFont="1" applyFill="1" applyBorder="1" applyAlignment="1" applyProtection="1">
      <alignment vertical="center"/>
      <protection/>
    </xf>
    <xf numFmtId="179" fontId="4" fillId="27" borderId="27" xfId="99" applyNumberFormat="1" applyFont="1" applyFill="1" applyBorder="1" applyAlignment="1" applyProtection="1">
      <alignment vertical="center"/>
      <protection/>
    </xf>
    <xf numFmtId="179" fontId="4" fillId="27" borderId="10" xfId="99" applyNumberFormat="1" applyFont="1" applyFill="1" applyBorder="1" applyAlignment="1" applyProtection="1">
      <alignment vertical="center"/>
      <protection/>
    </xf>
    <xf numFmtId="179" fontId="3" fillId="28" borderId="67" xfId="99" applyNumberFormat="1" applyFont="1" applyFill="1" applyBorder="1" applyAlignment="1" applyProtection="1">
      <alignment horizontal="right" vertical="center"/>
      <protection/>
    </xf>
    <xf numFmtId="0" fontId="1" fillId="29" borderId="73" xfId="0" applyFont="1" applyFill="1" applyBorder="1" applyAlignment="1" applyProtection="1">
      <alignment vertical="center"/>
      <protection/>
    </xf>
    <xf numFmtId="0" fontId="1" fillId="31" borderId="72" xfId="0" applyFont="1" applyFill="1" applyBorder="1" applyAlignment="1" applyProtection="1">
      <alignment vertical="center"/>
      <protection/>
    </xf>
    <xf numFmtId="0" fontId="1" fillId="32" borderId="10" xfId="0" applyFont="1" applyFill="1" applyBorder="1" applyAlignment="1" applyProtection="1">
      <alignment vertical="center"/>
      <protection/>
    </xf>
    <xf numFmtId="0" fontId="1" fillId="33" borderId="72" xfId="0" applyFont="1" applyFill="1" applyBorder="1" applyAlignment="1" applyProtection="1">
      <alignment vertical="center"/>
      <protection/>
    </xf>
    <xf numFmtId="0" fontId="1" fillId="34" borderId="10" xfId="0" applyFont="1" applyFill="1" applyBorder="1" applyAlignment="1" applyProtection="1">
      <alignment vertical="center"/>
      <protection/>
    </xf>
    <xf numFmtId="0" fontId="1" fillId="0" borderId="71" xfId="0" applyFont="1" applyBorder="1" applyAlignment="1" applyProtection="1">
      <alignment vertical="center"/>
      <protection/>
    </xf>
    <xf numFmtId="181" fontId="0" fillId="0" borderId="0" xfId="0" applyNumberFormat="1" applyAlignment="1" applyProtection="1">
      <alignment vertical="center"/>
      <protection/>
    </xf>
    <xf numFmtId="181" fontId="1" fillId="0" borderId="0" xfId="0" applyNumberFormat="1" applyFont="1" applyAlignment="1" applyProtection="1">
      <alignment vertical="center"/>
      <protection/>
    </xf>
    <xf numFmtId="179" fontId="0" fillId="0" borderId="0" xfId="0" applyNumberFormat="1" applyAlignment="1" applyProtection="1">
      <alignment vertical="center"/>
      <protection/>
    </xf>
    <xf numFmtId="179" fontId="0" fillId="0" borderId="0" xfId="0" applyNumberFormat="1" applyFill="1" applyAlignment="1" applyProtection="1">
      <alignment vertical="center"/>
      <protection/>
    </xf>
    <xf numFmtId="179" fontId="1" fillId="0" borderId="0" xfId="0" applyNumberFormat="1" applyFont="1" applyAlignment="1" applyProtection="1">
      <alignment vertical="center"/>
      <protection/>
    </xf>
    <xf numFmtId="174" fontId="1" fillId="0" borderId="0" xfId="143" applyNumberFormat="1" applyFont="1" applyBorder="1" applyAlignment="1" applyProtection="1">
      <alignment vertical="center"/>
      <protection/>
    </xf>
    <xf numFmtId="181" fontId="0" fillId="0" borderId="0" xfId="99" applyNumberFormat="1" applyFont="1" applyAlignment="1" applyProtection="1">
      <alignment vertical="center"/>
      <protection/>
    </xf>
    <xf numFmtId="0" fontId="0" fillId="0" borderId="0" xfId="0" applyFill="1" applyBorder="1" applyAlignment="1" applyProtection="1">
      <alignment horizontal="right" vertical="center"/>
      <protection/>
    </xf>
    <xf numFmtId="179" fontId="2" fillId="0" borderId="0" xfId="0" applyNumberFormat="1" applyFont="1" applyFill="1" applyAlignment="1" applyProtection="1">
      <alignment vertical="center"/>
      <protection/>
    </xf>
    <xf numFmtId="179" fontId="8" fillId="0" borderId="0"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5" fillId="0" borderId="0" xfId="0" applyFont="1" applyAlignment="1" applyProtection="1">
      <alignment horizontal="left" vertical="center"/>
      <protection/>
    </xf>
    <xf numFmtId="9" fontId="5"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10" fontId="5" fillId="0" borderId="0" xfId="96" applyNumberFormat="1" applyFont="1" applyBorder="1" applyAlignment="1" applyProtection="1">
      <alignment horizontal="center" vertical="center"/>
      <protection/>
    </xf>
    <xf numFmtId="0" fontId="1" fillId="0" borderId="74" xfId="0" applyFont="1" applyBorder="1" applyAlignment="1" applyProtection="1">
      <alignment horizontal="left" vertical="center"/>
      <protection/>
    </xf>
    <xf numFmtId="0" fontId="0" fillId="0" borderId="0" xfId="0" applyAlignment="1" applyProtection="1">
      <alignment horizontal="center" vertical="center"/>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0" fillId="0" borderId="75" xfId="0" applyBorder="1" applyAlignment="1" applyProtection="1">
      <alignment horizontal="center" vertical="center" wrapText="1"/>
      <protection/>
    </xf>
    <xf numFmtId="173" fontId="0" fillId="0" borderId="33" xfId="96" applyNumberFormat="1"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Alignment="1" applyProtection="1">
      <alignment vertical="center" wrapText="1"/>
      <protection/>
    </xf>
    <xf numFmtId="0" fontId="1" fillId="0" borderId="33" xfId="0" applyFont="1" applyBorder="1" applyAlignment="1" applyProtection="1">
      <alignment horizontal="center" vertical="center"/>
      <protection/>
    </xf>
    <xf numFmtId="173" fontId="0" fillId="0" borderId="12" xfId="96" applyNumberFormat="1"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76" xfId="0" applyBorder="1" applyAlignment="1" applyProtection="1">
      <alignment horizontal="center" vertical="center"/>
      <protection/>
    </xf>
    <xf numFmtId="10" fontId="1" fillId="0" borderId="12" xfId="143" applyNumberFormat="1" applyFont="1" applyBorder="1" applyAlignment="1" applyProtection="1">
      <alignment vertical="center"/>
      <protection/>
    </xf>
    <xf numFmtId="173" fontId="1" fillId="0" borderId="12" xfId="0" applyNumberFormat="1" applyFont="1" applyBorder="1" applyAlignment="1" applyProtection="1">
      <alignment vertical="center"/>
      <protection/>
    </xf>
    <xf numFmtId="174" fontId="1" fillId="0" borderId="14" xfId="143" applyNumberFormat="1" applyFont="1" applyBorder="1" applyAlignment="1" applyProtection="1">
      <alignment vertical="center"/>
      <protection/>
    </xf>
    <xf numFmtId="0" fontId="0" fillId="0" borderId="12" xfId="0" applyFont="1" applyBorder="1" applyAlignment="1" applyProtection="1">
      <alignment horizontal="center" vertical="center"/>
      <protection/>
    </xf>
    <xf numFmtId="0" fontId="1" fillId="0" borderId="56" xfId="0" applyFont="1" applyFill="1" applyBorder="1" applyAlignment="1" applyProtection="1">
      <alignment horizontal="right" vertical="center"/>
      <protection/>
    </xf>
    <xf numFmtId="10" fontId="0" fillId="0" borderId="59" xfId="143" applyNumberFormat="1" applyFont="1" applyFill="1" applyBorder="1" applyAlignment="1" applyProtection="1">
      <alignment vertical="center"/>
      <protection/>
    </xf>
    <xf numFmtId="174" fontId="0" fillId="0" borderId="0" xfId="143" applyNumberFormat="1" applyFont="1" applyFill="1" applyBorder="1" applyAlignment="1" applyProtection="1">
      <alignment vertical="center"/>
      <protection/>
    </xf>
    <xf numFmtId="173" fontId="0" fillId="0" borderId="12" xfId="0" applyNumberFormat="1" applyFont="1" applyBorder="1" applyAlignment="1" applyProtection="1">
      <alignment vertical="center"/>
      <protection/>
    </xf>
    <xf numFmtId="174" fontId="1" fillId="0" borderId="0" xfId="0" applyNumberFormat="1" applyFont="1" applyAlignment="1" applyProtection="1">
      <alignment vertical="center"/>
      <protection/>
    </xf>
    <xf numFmtId="0" fontId="1" fillId="0" borderId="16" xfId="0" applyFont="1" applyFill="1" applyBorder="1" applyAlignment="1" applyProtection="1">
      <alignment horizontal="right" vertical="center"/>
      <protection/>
    </xf>
    <xf numFmtId="10" fontId="0" fillId="0" borderId="21" xfId="143" applyNumberFormat="1" applyFont="1" applyFill="1" applyBorder="1" applyAlignment="1" applyProtection="1">
      <alignment vertical="center"/>
      <protection/>
    </xf>
    <xf numFmtId="173" fontId="0" fillId="0" borderId="21" xfId="0" applyNumberFormat="1" applyBorder="1" applyAlignment="1" applyProtection="1">
      <alignment vertical="center"/>
      <protection/>
    </xf>
    <xf numFmtId="174" fontId="0" fillId="0" borderId="62" xfId="143" applyNumberFormat="1" applyFont="1" applyBorder="1" applyAlignment="1" applyProtection="1">
      <alignment vertical="center"/>
      <protection/>
    </xf>
    <xf numFmtId="174" fontId="0" fillId="0" borderId="0" xfId="143" applyNumberFormat="1" applyFont="1" applyBorder="1" applyAlignment="1" applyProtection="1">
      <alignment vertical="center"/>
      <protection/>
    </xf>
    <xf numFmtId="10" fontId="1" fillId="37" borderId="25" xfId="143" applyNumberFormat="1" applyFont="1" applyFill="1" applyBorder="1" applyAlignment="1" applyProtection="1">
      <alignment vertical="center"/>
      <protection/>
    </xf>
    <xf numFmtId="173" fontId="1" fillId="37" borderId="25" xfId="96" applyNumberFormat="1" applyFont="1" applyFill="1" applyBorder="1" applyAlignment="1" applyProtection="1">
      <alignment vertical="center"/>
      <protection/>
    </xf>
    <xf numFmtId="10" fontId="1" fillId="37" borderId="27" xfId="143" applyNumberFormat="1" applyFont="1" applyFill="1" applyBorder="1" applyAlignment="1" applyProtection="1">
      <alignment vertical="center"/>
      <protection/>
    </xf>
    <xf numFmtId="10" fontId="1" fillId="0" borderId="0" xfId="143" applyNumberFormat="1" applyFont="1" applyBorder="1" applyAlignment="1" applyProtection="1">
      <alignment vertical="center"/>
      <protection/>
    </xf>
    <xf numFmtId="10" fontId="1" fillId="0" borderId="0" xfId="143" applyNumberFormat="1" applyFont="1" applyFill="1" applyBorder="1" applyAlignment="1" applyProtection="1">
      <alignment vertical="center"/>
      <protection/>
    </xf>
    <xf numFmtId="173" fontId="0" fillId="0" borderId="77" xfId="0" applyNumberFormat="1" applyFont="1" applyBorder="1" applyAlignment="1" applyProtection="1">
      <alignment vertical="center"/>
      <protection/>
    </xf>
    <xf numFmtId="0" fontId="3" fillId="24" borderId="38" xfId="0" applyFont="1" applyFill="1" applyBorder="1" applyAlignment="1" applyProtection="1">
      <alignment horizontal="left" vertical="center"/>
      <protection/>
    </xf>
    <xf numFmtId="0" fontId="1" fillId="24" borderId="39" xfId="0" applyFont="1" applyFill="1" applyBorder="1" applyAlignment="1" applyProtection="1">
      <alignment vertical="center"/>
      <protection/>
    </xf>
    <xf numFmtId="173" fontId="1" fillId="37" borderId="39" xfId="96" applyNumberFormat="1" applyFont="1" applyFill="1" applyBorder="1" applyAlignment="1" applyProtection="1">
      <alignment vertical="center"/>
      <protection/>
    </xf>
    <xf numFmtId="173" fontId="0" fillId="25" borderId="76" xfId="0" applyNumberFormat="1" applyFont="1" applyFill="1" applyBorder="1" applyAlignment="1" applyProtection="1">
      <alignment vertical="center"/>
      <protection/>
    </xf>
    <xf numFmtId="10" fontId="1" fillId="37" borderId="12" xfId="143" applyNumberFormat="1" applyFont="1" applyFill="1" applyBorder="1" applyAlignment="1" applyProtection="1">
      <alignment vertical="center"/>
      <protection/>
    </xf>
    <xf numFmtId="173" fontId="1" fillId="37" borderId="12" xfId="96" applyNumberFormat="1" applyFont="1" applyFill="1" applyBorder="1" applyAlignment="1" applyProtection="1">
      <alignment vertical="center"/>
      <protection/>
    </xf>
    <xf numFmtId="10" fontId="1" fillId="37" borderId="14" xfId="143" applyNumberFormat="1" applyFont="1" applyFill="1" applyBorder="1" applyAlignment="1" applyProtection="1">
      <alignment vertical="center"/>
      <protection/>
    </xf>
    <xf numFmtId="173" fontId="1" fillId="25" borderId="12" xfId="0" applyNumberFormat="1" applyFont="1" applyFill="1" applyBorder="1" applyAlignment="1" applyProtection="1">
      <alignment vertical="center"/>
      <protection/>
    </xf>
    <xf numFmtId="173" fontId="0" fillId="0" borderId="59" xfId="0" applyNumberFormat="1" applyBorder="1" applyAlignment="1" applyProtection="1">
      <alignment vertical="center"/>
      <protection/>
    </xf>
    <xf numFmtId="174" fontId="0" fillId="0" borderId="17" xfId="143" applyNumberFormat="1" applyFont="1" applyBorder="1" applyAlignment="1" applyProtection="1">
      <alignment vertical="center"/>
      <protection/>
    </xf>
    <xf numFmtId="173" fontId="1" fillId="0" borderId="42" xfId="96" applyNumberFormat="1" applyFont="1" applyFill="1" applyBorder="1" applyAlignment="1" applyProtection="1">
      <alignment vertical="center"/>
      <protection/>
    </xf>
    <xf numFmtId="173" fontId="1" fillId="0" borderId="29" xfId="96" applyNumberFormat="1" applyFont="1" applyFill="1" applyBorder="1" applyAlignment="1" applyProtection="1">
      <alignment vertical="center"/>
      <protection/>
    </xf>
    <xf numFmtId="173" fontId="1" fillId="24" borderId="42" xfId="96" applyNumberFormat="1" applyFont="1" applyFill="1" applyBorder="1" applyAlignment="1" applyProtection="1">
      <alignment vertical="center"/>
      <protection/>
    </xf>
    <xf numFmtId="173" fontId="1" fillId="24" borderId="29" xfId="96" applyNumberFormat="1" applyFont="1" applyFill="1" applyBorder="1" applyAlignment="1" applyProtection="1">
      <alignment vertical="center"/>
      <protection/>
    </xf>
    <xf numFmtId="10" fontId="1" fillId="0" borderId="42" xfId="143" applyNumberFormat="1" applyFont="1" applyBorder="1" applyAlignment="1" applyProtection="1">
      <alignment vertical="center"/>
      <protection/>
    </xf>
    <xf numFmtId="173" fontId="1" fillId="0" borderId="12" xfId="96" applyNumberFormat="1" applyFont="1" applyFill="1" applyBorder="1" applyAlignment="1" applyProtection="1">
      <alignment vertical="center"/>
      <protection/>
    </xf>
    <xf numFmtId="0" fontId="1" fillId="24" borderId="24" xfId="0" applyFont="1" applyFill="1" applyBorder="1" applyAlignment="1" applyProtection="1">
      <alignment horizontal="left" vertical="center"/>
      <protection/>
    </xf>
    <xf numFmtId="173" fontId="1" fillId="24" borderId="28" xfId="96" applyNumberFormat="1" applyFont="1" applyFill="1" applyBorder="1" applyAlignment="1" applyProtection="1">
      <alignment vertical="center"/>
      <protection/>
    </xf>
    <xf numFmtId="0" fontId="1" fillId="0" borderId="0" xfId="0" applyFont="1" applyAlignment="1" applyProtection="1">
      <alignment horizontal="right" vertical="center"/>
      <protection/>
    </xf>
    <xf numFmtId="0" fontId="0" fillId="0" borderId="0" xfId="0" applyFont="1" applyAlignment="1" applyProtection="1">
      <alignment vertical="center"/>
      <protection/>
    </xf>
    <xf numFmtId="10" fontId="0" fillId="0" borderId="0" xfId="0" applyNumberFormat="1" applyAlignment="1" applyProtection="1">
      <alignment vertical="center"/>
      <protection/>
    </xf>
    <xf numFmtId="173" fontId="0" fillId="0" borderId="0" xfId="96" applyNumberFormat="1" applyFont="1" applyAlignment="1" applyProtection="1">
      <alignment vertical="center"/>
      <protection/>
    </xf>
    <xf numFmtId="0" fontId="0" fillId="0" borderId="0" xfId="0" applyFill="1" applyBorder="1" applyAlignment="1" applyProtection="1">
      <alignment vertical="center"/>
      <protection/>
    </xf>
    <xf numFmtId="10" fontId="5" fillId="0" borderId="0" xfId="96" applyNumberFormat="1" applyFont="1" applyAlignment="1" applyProtection="1">
      <alignment horizontal="center" vertical="center"/>
      <protection/>
    </xf>
    <xf numFmtId="0" fontId="1" fillId="0" borderId="78" xfId="0" applyFont="1" applyBorder="1" applyAlignment="1" applyProtection="1">
      <alignment horizontal="center" vertical="center" wrapText="1"/>
      <protection/>
    </xf>
    <xf numFmtId="0" fontId="1" fillId="0" borderId="79" xfId="0" applyFont="1" applyBorder="1" applyAlignment="1" applyProtection="1">
      <alignment horizontal="center" vertical="center" wrapText="1"/>
      <protection/>
    </xf>
    <xf numFmtId="173" fontId="1" fillId="24" borderId="14" xfId="96" applyNumberFormat="1" applyFont="1" applyFill="1" applyBorder="1" applyAlignment="1" applyProtection="1">
      <alignment vertical="center"/>
      <protection/>
    </xf>
    <xf numFmtId="0" fontId="1" fillId="0" borderId="80" xfId="0" applyFont="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1" fillId="0" borderId="51" xfId="0" applyFont="1" applyBorder="1" applyAlignment="1" applyProtection="1">
      <alignment vertical="center"/>
      <protection/>
    </xf>
    <xf numFmtId="173" fontId="1" fillId="25" borderId="54" xfId="96" applyNumberFormat="1" applyFont="1" applyFill="1" applyBorder="1" applyAlignment="1" applyProtection="1">
      <alignment vertical="center"/>
      <protection/>
    </xf>
    <xf numFmtId="173" fontId="0" fillId="0" borderId="58" xfId="96" applyNumberFormat="1" applyFont="1" applyFill="1" applyBorder="1" applyAlignment="1" applyProtection="1">
      <alignment vertical="center"/>
      <protection/>
    </xf>
    <xf numFmtId="173" fontId="1" fillId="24" borderId="67" xfId="96" applyNumberFormat="1" applyFont="1" applyFill="1" applyBorder="1" applyAlignment="1" applyProtection="1">
      <alignment vertical="center"/>
      <protection/>
    </xf>
    <xf numFmtId="173" fontId="1" fillId="0" borderId="51" xfId="96" applyNumberFormat="1" applyFont="1" applyFill="1" applyBorder="1" applyAlignment="1" applyProtection="1">
      <alignment vertical="center"/>
      <protection/>
    </xf>
    <xf numFmtId="173" fontId="1" fillId="37" borderId="68" xfId="96" applyNumberFormat="1" applyFont="1" applyFill="1" applyBorder="1" applyAlignment="1" applyProtection="1">
      <alignment vertical="center"/>
      <protection/>
    </xf>
    <xf numFmtId="173" fontId="0" fillId="36" borderId="58" xfId="96" applyNumberFormat="1" applyFont="1" applyFill="1" applyBorder="1" applyAlignment="1" applyProtection="1">
      <alignment vertical="center"/>
      <protection/>
    </xf>
    <xf numFmtId="173" fontId="1" fillId="24" borderId="54" xfId="96" applyNumberFormat="1" applyFont="1" applyFill="1" applyBorder="1" applyAlignment="1" applyProtection="1">
      <alignment vertical="center"/>
      <protection/>
    </xf>
    <xf numFmtId="173" fontId="3" fillId="25" borderId="54" xfId="0" applyNumberFormat="1" applyFont="1" applyFill="1" applyBorder="1" applyAlignment="1" applyProtection="1">
      <alignment vertical="center"/>
      <protection/>
    </xf>
    <xf numFmtId="0" fontId="1" fillId="0" borderId="54" xfId="0" applyFont="1" applyBorder="1" applyAlignment="1" applyProtection="1">
      <alignment horizontal="center" vertical="center" wrapText="1"/>
      <protection/>
    </xf>
    <xf numFmtId="173" fontId="5" fillId="36" borderId="58" xfId="96" applyNumberFormat="1" applyFont="1" applyFill="1" applyBorder="1" applyAlignment="1" applyProtection="1">
      <alignment vertical="center"/>
      <protection/>
    </xf>
    <xf numFmtId="0" fontId="7" fillId="0" borderId="0" xfId="0" applyFont="1" applyAlignment="1" applyProtection="1">
      <alignment horizontal="center" vertical="center"/>
      <protection/>
    </xf>
    <xf numFmtId="0" fontId="1" fillId="34" borderId="51" xfId="0" applyFont="1" applyFill="1" applyBorder="1" applyAlignment="1" applyProtection="1">
      <alignment vertical="center"/>
      <protection/>
    </xf>
    <xf numFmtId="179" fontId="1" fillId="34" borderId="68" xfId="99" applyNumberFormat="1" applyFont="1" applyFill="1" applyBorder="1" applyAlignment="1" applyProtection="1">
      <alignment vertical="center"/>
      <protection/>
    </xf>
    <xf numFmtId="179" fontId="1" fillId="34" borderId="58" xfId="99" applyNumberFormat="1" applyFont="1" applyFill="1" applyBorder="1" applyAlignment="1" applyProtection="1">
      <alignment vertical="center"/>
      <protection/>
    </xf>
    <xf numFmtId="0" fontId="1" fillId="34" borderId="10" xfId="0" applyFont="1" applyFill="1" applyBorder="1" applyAlignment="1" applyProtection="1">
      <alignment vertical="center"/>
      <protection/>
    </xf>
    <xf numFmtId="179" fontId="0" fillId="0" borderId="0" xfId="0" applyNumberFormat="1" applyFont="1" applyAlignment="1" applyProtection="1">
      <alignment vertical="center"/>
      <protection/>
    </xf>
    <xf numFmtId="179" fontId="3" fillId="0" borderId="10" xfId="99" applyNumberFormat="1" applyFont="1" applyBorder="1" applyAlignment="1" applyProtection="1">
      <alignment vertical="center"/>
      <protection/>
    </xf>
    <xf numFmtId="173" fontId="3" fillId="0" borderId="10" xfId="0" applyNumberFormat="1" applyFont="1" applyBorder="1" applyAlignment="1" applyProtection="1">
      <alignment vertical="center"/>
      <protection/>
    </xf>
    <xf numFmtId="179" fontId="2" fillId="0" borderId="0" xfId="0" applyNumberFormat="1" applyFont="1" applyFill="1" applyBorder="1" applyAlignment="1" applyProtection="1">
      <alignment vertical="center"/>
      <protection/>
    </xf>
    <xf numFmtId="179" fontId="0" fillId="0" borderId="0" xfId="0" applyNumberFormat="1" applyBorder="1" applyAlignment="1" applyProtection="1">
      <alignment vertical="center"/>
      <protection/>
    </xf>
    <xf numFmtId="0" fontId="5" fillId="0" borderId="0" xfId="0" applyFont="1" applyAlignment="1" applyProtection="1">
      <alignment vertical="center"/>
      <protection/>
    </xf>
    <xf numFmtId="10" fontId="5" fillId="0" borderId="0" xfId="0" applyNumberFormat="1" applyFont="1" applyAlignment="1" applyProtection="1">
      <alignment horizontal="left" vertical="center"/>
      <protection/>
    </xf>
    <xf numFmtId="0" fontId="2" fillId="0" borderId="0" xfId="0" applyFont="1" applyAlignment="1" applyProtection="1">
      <alignment horizontal="right" vertical="center"/>
      <protection/>
    </xf>
    <xf numFmtId="0" fontId="8" fillId="0" borderId="0" xfId="0" applyFont="1" applyAlignment="1" applyProtection="1">
      <alignment horizontal="right" vertical="center"/>
      <protection/>
    </xf>
    <xf numFmtId="179" fontId="0" fillId="0" borderId="0" xfId="0" applyNumberFormat="1" applyFont="1" applyAlignment="1" applyProtection="1">
      <alignment vertical="center"/>
      <protection/>
    </xf>
    <xf numFmtId="0" fontId="10" fillId="0" borderId="51" xfId="0" applyFont="1" applyFill="1" applyBorder="1" applyAlignment="1" applyProtection="1">
      <alignment vertical="center"/>
      <protection/>
    </xf>
    <xf numFmtId="179" fontId="10" fillId="0" borderId="54" xfId="99" applyNumberFormat="1" applyFont="1" applyFill="1" applyBorder="1" applyAlignment="1" applyProtection="1">
      <alignment vertical="center"/>
      <protection/>
    </xf>
    <xf numFmtId="170" fontId="10" fillId="0" borderId="57" xfId="99" applyNumberFormat="1" applyFont="1" applyFill="1" applyBorder="1" applyAlignment="1" applyProtection="1">
      <alignment vertical="center"/>
      <protection/>
    </xf>
    <xf numFmtId="170" fontId="10" fillId="0" borderId="61" xfId="99" applyNumberFormat="1" applyFont="1" applyFill="1" applyBorder="1" applyAlignment="1" applyProtection="1">
      <alignment vertical="center"/>
      <protection/>
    </xf>
    <xf numFmtId="170" fontId="10" fillId="0" borderId="67" xfId="99" applyNumberFormat="1" applyFont="1" applyFill="1" applyBorder="1" applyAlignment="1" applyProtection="1">
      <alignment vertical="center"/>
      <protection/>
    </xf>
    <xf numFmtId="170" fontId="10" fillId="0" borderId="51" xfId="99" applyNumberFormat="1" applyFont="1" applyFill="1" applyBorder="1" applyAlignment="1" applyProtection="1">
      <alignment vertical="center"/>
      <protection/>
    </xf>
    <xf numFmtId="170" fontId="10" fillId="0" borderId="68" xfId="99" applyNumberFormat="1" applyFont="1" applyFill="1" applyBorder="1" applyAlignment="1" applyProtection="1">
      <alignment vertical="center"/>
      <protection/>
    </xf>
    <xf numFmtId="170" fontId="10" fillId="0" borderId="54" xfId="99" applyNumberFormat="1" applyFont="1" applyFill="1" applyBorder="1" applyAlignment="1" applyProtection="1">
      <alignment vertical="center"/>
      <protection/>
    </xf>
    <xf numFmtId="179" fontId="10" fillId="0" borderId="58" xfId="99" applyNumberFormat="1" applyFont="1" applyFill="1" applyBorder="1" applyAlignment="1" applyProtection="1">
      <alignment vertical="center"/>
      <protection/>
    </xf>
    <xf numFmtId="179" fontId="9" fillId="0" borderId="54" xfId="99" applyNumberFormat="1" applyFont="1" applyFill="1" applyBorder="1" applyAlignment="1" applyProtection="1">
      <alignment horizontal="right" vertical="center"/>
      <protection/>
    </xf>
    <xf numFmtId="0" fontId="10"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4" fontId="0" fillId="0" borderId="0" xfId="0" applyNumberForma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73" fontId="0" fillId="0" borderId="0" xfId="96"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173" fontId="0" fillId="0" borderId="0" xfId="96" applyNumberFormat="1" applyFont="1" applyFill="1" applyBorder="1" applyAlignment="1" applyProtection="1">
      <alignment vertical="center"/>
      <protection/>
    </xf>
    <xf numFmtId="173" fontId="1" fillId="0" borderId="0" xfId="96" applyNumberFormat="1" applyFont="1" applyFill="1" applyBorder="1" applyAlignment="1" applyProtection="1">
      <alignment vertical="center"/>
      <protection/>
    </xf>
    <xf numFmtId="3" fontId="0" fillId="0" borderId="0" xfId="96" applyNumberFormat="1"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3" fontId="0" fillId="0" borderId="0" xfId="96"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1" fillId="0" borderId="0" xfId="0" applyFont="1" applyFill="1" applyBorder="1" applyAlignment="1" applyProtection="1">
      <alignment horizontal="center" vertical="center"/>
      <protection/>
    </xf>
    <xf numFmtId="4" fontId="0" fillId="0" borderId="0" xfId="0" applyNumberFormat="1" applyFill="1" applyBorder="1" applyAlignment="1" applyProtection="1">
      <alignment vertical="center" wrapText="1"/>
      <protection/>
    </xf>
    <xf numFmtId="3" fontId="0" fillId="0" borderId="0" xfId="96"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 fontId="18" fillId="0" borderId="0" xfId="0" applyNumberFormat="1" applyFont="1" applyFill="1" applyBorder="1" applyAlignment="1" applyProtection="1">
      <alignment vertical="center" wrapText="1"/>
      <protection/>
    </xf>
    <xf numFmtId="179" fontId="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17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9" fontId="5" fillId="0" borderId="0" xfId="0" applyNumberFormat="1" applyFont="1" applyFill="1" applyBorder="1" applyAlignment="1" applyProtection="1">
      <alignment horizontal="center" vertical="center"/>
      <protection/>
    </xf>
    <xf numFmtId="179" fontId="5" fillId="34" borderId="54" xfId="99" applyNumberFormat="1" applyFont="1" applyFill="1" applyBorder="1" applyAlignment="1" applyProtection="1">
      <alignment vertical="center"/>
      <protection/>
    </xf>
    <xf numFmtId="0" fontId="19" fillId="0" borderId="0" xfId="0" applyFont="1" applyAlignment="1" applyProtection="1">
      <alignment vertical="center"/>
      <protection/>
    </xf>
    <xf numFmtId="176" fontId="0" fillId="0" borderId="0" xfId="96" applyNumberFormat="1" applyFont="1" applyAlignment="1" applyProtection="1">
      <alignment vertical="center"/>
      <protection/>
    </xf>
    <xf numFmtId="189" fontId="0" fillId="0" borderId="0" xfId="96" applyNumberFormat="1" applyFont="1" applyAlignment="1" applyProtection="1">
      <alignment vertical="center"/>
      <protection/>
    </xf>
    <xf numFmtId="190" fontId="0" fillId="0" borderId="0" xfId="96" applyNumberFormat="1" applyFont="1" applyAlignment="1" applyProtection="1">
      <alignment vertical="center"/>
      <protection/>
    </xf>
    <xf numFmtId="0" fontId="0" fillId="0" borderId="59"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81" xfId="0" applyBorder="1" applyAlignment="1" applyProtection="1">
      <alignment horizontal="center" vertical="center"/>
      <protection/>
    </xf>
    <xf numFmtId="173" fontId="1" fillId="24" borderId="39" xfId="96" applyNumberFormat="1" applyFont="1" applyFill="1" applyBorder="1" applyAlignment="1" applyProtection="1">
      <alignment vertical="center"/>
      <protection/>
    </xf>
    <xf numFmtId="173" fontId="1" fillId="24" borderId="82" xfId="96" applyNumberFormat="1" applyFont="1" applyFill="1" applyBorder="1" applyAlignment="1" applyProtection="1">
      <alignment vertical="center"/>
      <protection/>
    </xf>
    <xf numFmtId="0" fontId="1" fillId="0" borderId="40" xfId="0" applyFont="1" applyBorder="1" applyAlignment="1" applyProtection="1">
      <alignment horizontal="center" vertical="center" wrapText="1"/>
      <protection/>
    </xf>
    <xf numFmtId="173" fontId="13" fillId="0" borderId="0" xfId="96" applyNumberFormat="1" applyFont="1" applyBorder="1" applyAlignment="1" applyProtection="1">
      <alignment vertical="center"/>
      <protection/>
    </xf>
    <xf numFmtId="0" fontId="1" fillId="0" borderId="38"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73" fontId="1" fillId="25" borderId="42" xfId="0" applyNumberFormat="1" applyFont="1" applyFill="1" applyBorder="1" applyAlignment="1" applyProtection="1">
      <alignment vertical="center"/>
      <protection/>
    </xf>
    <xf numFmtId="0" fontId="1" fillId="0" borderId="78" xfId="0" applyFont="1" applyBorder="1" applyAlignment="1" applyProtection="1">
      <alignment vertical="center"/>
      <protection/>
    </xf>
    <xf numFmtId="0" fontId="0" fillId="0" borderId="83" xfId="0" applyFont="1" applyBorder="1" applyAlignment="1" applyProtection="1">
      <alignment vertical="center" wrapText="1"/>
      <protection/>
    </xf>
    <xf numFmtId="0" fontId="0" fillId="0" borderId="84" xfId="0" applyBorder="1" applyAlignment="1" applyProtection="1">
      <alignment vertical="center" wrapText="1"/>
      <protection/>
    </xf>
    <xf numFmtId="0" fontId="0" fillId="0" borderId="11" xfId="0"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1" fillId="0" borderId="85" xfId="0" applyFont="1" applyBorder="1" applyAlignment="1" applyProtection="1">
      <alignment vertical="center"/>
      <protection/>
    </xf>
    <xf numFmtId="174" fontId="1" fillId="25" borderId="30" xfId="143" applyNumberFormat="1" applyFont="1" applyFill="1" applyBorder="1" applyAlignment="1" applyProtection="1">
      <alignment vertical="center"/>
      <protection/>
    </xf>
    <xf numFmtId="0" fontId="1" fillId="0" borderId="37" xfId="0" applyFont="1" applyFill="1" applyBorder="1" applyAlignment="1" applyProtection="1">
      <alignment vertical="center"/>
      <protection/>
    </xf>
    <xf numFmtId="174" fontId="1" fillId="0" borderId="86" xfId="143" applyNumberFormat="1" applyFont="1" applyBorder="1" applyAlignment="1" applyProtection="1">
      <alignment vertical="center"/>
      <protection/>
    </xf>
    <xf numFmtId="0" fontId="1" fillId="25" borderId="47" xfId="0" applyFont="1" applyFill="1" applyBorder="1" applyAlignment="1" applyProtection="1">
      <alignment vertical="center"/>
      <protection/>
    </xf>
    <xf numFmtId="174" fontId="1" fillId="25" borderId="50" xfId="143" applyNumberFormat="1" applyFont="1" applyFill="1" applyBorder="1" applyAlignment="1" applyProtection="1">
      <alignment vertical="center"/>
      <protection/>
    </xf>
    <xf numFmtId="0" fontId="1" fillId="25" borderId="11" xfId="0" applyFont="1" applyFill="1" applyBorder="1" applyAlignment="1" applyProtection="1">
      <alignment vertical="center"/>
      <protection/>
    </xf>
    <xf numFmtId="174" fontId="1" fillId="25" borderId="14" xfId="143" applyNumberFormat="1" applyFont="1" applyFill="1" applyBorder="1" applyAlignment="1" applyProtection="1">
      <alignment vertical="center"/>
      <protection/>
    </xf>
    <xf numFmtId="0" fontId="1" fillId="25" borderId="24" xfId="0" applyFont="1" applyFill="1" applyBorder="1" applyAlignment="1" applyProtection="1">
      <alignment vertical="center"/>
      <protection/>
    </xf>
    <xf numFmtId="173" fontId="1" fillId="25" borderId="25" xfId="0" applyNumberFormat="1" applyFont="1" applyFill="1" applyBorder="1" applyAlignment="1" applyProtection="1">
      <alignment vertical="center"/>
      <protection/>
    </xf>
    <xf numFmtId="0" fontId="1" fillId="0" borderId="0" xfId="99" applyNumberFormat="1" applyFont="1" applyFill="1" applyBorder="1" applyAlignment="1" applyProtection="1">
      <alignment horizontal="center" vertical="center"/>
      <protection/>
    </xf>
    <xf numFmtId="170" fontId="10" fillId="26" borderId="87" xfId="99" applyNumberFormat="1" applyFont="1" applyFill="1" applyBorder="1" applyAlignment="1" applyProtection="1">
      <alignment vertical="center"/>
      <protection/>
    </xf>
    <xf numFmtId="170" fontId="10" fillId="35" borderId="87" xfId="99" applyNumberFormat="1" applyFont="1" applyFill="1" applyBorder="1" applyAlignment="1" applyProtection="1">
      <alignment vertical="center"/>
      <protection/>
    </xf>
    <xf numFmtId="170" fontId="10" fillId="27" borderId="87" xfId="99" applyNumberFormat="1" applyFont="1" applyFill="1" applyBorder="1" applyAlignment="1" applyProtection="1">
      <alignment vertical="center"/>
      <protection/>
    </xf>
    <xf numFmtId="170" fontId="10" fillId="0" borderId="87" xfId="99" applyNumberFormat="1" applyFont="1" applyFill="1" applyBorder="1" applyAlignment="1" applyProtection="1">
      <alignment vertical="center"/>
      <protection/>
    </xf>
    <xf numFmtId="179" fontId="0" fillId="29" borderId="33" xfId="99" applyNumberFormat="1" applyFont="1" applyFill="1" applyBorder="1" applyAlignment="1" applyProtection="1">
      <alignment vertical="center"/>
      <protection/>
    </xf>
    <xf numFmtId="179" fontId="0" fillId="30" borderId="33" xfId="99" applyNumberFormat="1" applyFont="1" applyFill="1" applyBorder="1" applyAlignment="1" applyProtection="1">
      <alignment vertical="center"/>
      <protection/>
    </xf>
    <xf numFmtId="179" fontId="0" fillId="32" borderId="51" xfId="99" applyNumberFormat="1" applyFont="1" applyFill="1" applyBorder="1" applyAlignment="1" applyProtection="1">
      <alignment vertical="center"/>
      <protection/>
    </xf>
    <xf numFmtId="9" fontId="0" fillId="26" borderId="19" xfId="143" applyFont="1" applyFill="1" applyBorder="1" applyAlignment="1" applyProtection="1">
      <alignment vertical="center"/>
      <protection/>
    </xf>
    <xf numFmtId="9" fontId="0" fillId="26" borderId="58" xfId="143" applyFont="1" applyFill="1" applyBorder="1" applyAlignment="1" applyProtection="1">
      <alignment vertical="center"/>
      <protection/>
    </xf>
    <xf numFmtId="170" fontId="10" fillId="26" borderId="58" xfId="99" applyNumberFormat="1" applyFont="1" applyFill="1" applyBorder="1" applyAlignment="1" applyProtection="1">
      <alignment vertical="center"/>
      <protection/>
    </xf>
    <xf numFmtId="170" fontId="10" fillId="35" borderId="58" xfId="99" applyNumberFormat="1" applyFont="1" applyFill="1" applyBorder="1" applyAlignment="1" applyProtection="1">
      <alignment vertical="center"/>
      <protection/>
    </xf>
    <xf numFmtId="170" fontId="10" fillId="27" borderId="58" xfId="99" applyNumberFormat="1" applyFont="1" applyFill="1" applyBorder="1" applyAlignment="1" applyProtection="1">
      <alignment vertical="center"/>
      <protection/>
    </xf>
    <xf numFmtId="170" fontId="10" fillId="0" borderId="58" xfId="99" applyNumberFormat="1" applyFont="1" applyFill="1" applyBorder="1" applyAlignment="1" applyProtection="1">
      <alignment vertical="center"/>
      <protection/>
    </xf>
    <xf numFmtId="179" fontId="0" fillId="33" borderId="33" xfId="99" applyNumberFormat="1" applyFont="1" applyFill="1" applyBorder="1" applyAlignment="1" applyProtection="1">
      <alignment vertical="center"/>
      <protection/>
    </xf>
    <xf numFmtId="10" fontId="1" fillId="26" borderId="10" xfId="143" applyNumberFormat="1" applyFont="1" applyFill="1" applyBorder="1" applyAlignment="1" applyProtection="1">
      <alignment vertical="center"/>
      <protection/>
    </xf>
    <xf numFmtId="0" fontId="1" fillId="0" borderId="11"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29" borderId="31" xfId="0" applyFont="1" applyFill="1" applyBorder="1" applyAlignment="1" applyProtection="1">
      <alignment horizontal="center" vertical="center" wrapText="1"/>
      <protection/>
    </xf>
    <xf numFmtId="0" fontId="1" fillId="29" borderId="88" xfId="0" applyFont="1" applyFill="1" applyBorder="1" applyAlignment="1" applyProtection="1">
      <alignment horizontal="center" vertical="center" wrapText="1"/>
      <protection/>
    </xf>
    <xf numFmtId="179" fontId="1" fillId="29" borderId="47" xfId="99" applyNumberFormat="1" applyFont="1" applyFill="1" applyBorder="1" applyAlignment="1" applyProtection="1">
      <alignment vertical="center"/>
      <protection/>
    </xf>
    <xf numFmtId="173" fontId="0" fillId="0" borderId="0" xfId="96" applyNumberFormat="1" applyFont="1" applyAlignment="1" applyProtection="1" quotePrefix="1">
      <alignment vertical="center"/>
      <protection/>
    </xf>
    <xf numFmtId="173" fontId="0" fillId="0" borderId="0" xfId="96" applyNumberFormat="1" applyFont="1" applyAlignment="1" applyProtection="1">
      <alignment vertical="center"/>
      <protection/>
    </xf>
    <xf numFmtId="4" fontId="18" fillId="0" borderId="0" xfId="0" applyNumberFormat="1" applyFont="1" applyFill="1" applyBorder="1" applyAlignment="1" applyProtection="1">
      <alignment horizontal="center" vertical="center" wrapText="1"/>
      <protection/>
    </xf>
    <xf numFmtId="171" fontId="0" fillId="0" borderId="0" xfId="0" applyNumberFormat="1" applyFont="1" applyFill="1" applyBorder="1" applyAlignment="1" applyProtection="1">
      <alignment horizontal="center" vertical="center"/>
      <protection/>
    </xf>
    <xf numFmtId="173" fontId="0" fillId="0" borderId="59" xfId="96" applyNumberFormat="1" applyFont="1" applyFill="1" applyBorder="1" applyAlignment="1" applyProtection="1">
      <alignment vertical="center"/>
      <protection/>
    </xf>
    <xf numFmtId="173" fontId="1" fillId="24" borderId="27" xfId="96" applyNumberFormat="1" applyFont="1" applyFill="1" applyBorder="1" applyAlignment="1" applyProtection="1">
      <alignment vertical="center"/>
      <protection/>
    </xf>
    <xf numFmtId="173" fontId="1" fillId="0" borderId="35" xfId="96" applyNumberFormat="1" applyFont="1" applyFill="1" applyBorder="1" applyAlignment="1" applyProtection="1">
      <alignment vertical="center"/>
      <protection/>
    </xf>
    <xf numFmtId="173" fontId="1" fillId="25" borderId="40" xfId="96" applyNumberFormat="1" applyFont="1" applyFill="1" applyBorder="1" applyAlignment="1" applyProtection="1">
      <alignment vertical="center"/>
      <protection/>
    </xf>
    <xf numFmtId="173" fontId="1" fillId="0" borderId="30" xfId="96" applyNumberFormat="1" applyFont="1" applyFill="1" applyBorder="1" applyAlignment="1" applyProtection="1">
      <alignment vertical="center"/>
      <protection/>
    </xf>
    <xf numFmtId="173" fontId="1" fillId="24" borderId="30" xfId="96" applyNumberFormat="1" applyFont="1" applyFill="1" applyBorder="1" applyAlignment="1" applyProtection="1">
      <alignment vertical="center"/>
      <protection/>
    </xf>
    <xf numFmtId="173" fontId="1" fillId="24" borderId="45" xfId="96" applyNumberFormat="1" applyFont="1" applyFill="1" applyBorder="1" applyAlignment="1" applyProtection="1">
      <alignment vertical="center"/>
      <protection/>
    </xf>
    <xf numFmtId="173" fontId="0" fillId="0" borderId="0" xfId="96" applyNumberFormat="1" applyFont="1" applyAlignment="1" applyProtection="1">
      <alignment vertical="center"/>
      <protection/>
    </xf>
    <xf numFmtId="170" fontId="0" fillId="0" borderId="0" xfId="99" applyFont="1" applyAlignment="1" applyProtection="1">
      <alignment vertical="center"/>
      <protection/>
    </xf>
    <xf numFmtId="179" fontId="0" fillId="0" borderId="0" xfId="99" applyNumberFormat="1" applyFont="1" applyAlignment="1" applyProtection="1">
      <alignment vertical="center"/>
      <protection/>
    </xf>
    <xf numFmtId="0" fontId="0" fillId="0" borderId="0" xfId="0" applyFont="1" applyBorder="1" applyAlignment="1" applyProtection="1">
      <alignment vertical="center"/>
      <protection/>
    </xf>
    <xf numFmtId="173" fontId="0" fillId="0" borderId="0" xfId="96" applyNumberFormat="1" applyFont="1" applyBorder="1" applyAlignment="1" applyProtection="1">
      <alignment vertical="center"/>
      <protection/>
    </xf>
    <xf numFmtId="170" fontId="0" fillId="0" borderId="0" xfId="99" applyFont="1" applyBorder="1" applyAlignment="1" applyProtection="1">
      <alignment vertical="center"/>
      <protection/>
    </xf>
    <xf numFmtId="179" fontId="0" fillId="0" borderId="0" xfId="99"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89" xfId="0" applyFont="1" applyBorder="1" applyAlignment="1" applyProtection="1">
      <alignment vertical="center"/>
      <protection/>
    </xf>
    <xf numFmtId="173" fontId="0" fillId="0" borderId="90" xfId="96" applyNumberFormat="1" applyFont="1" applyBorder="1" applyAlignment="1" applyProtection="1">
      <alignment vertical="center"/>
      <protection/>
    </xf>
    <xf numFmtId="173" fontId="0" fillId="0" borderId="91" xfId="96" applyNumberFormat="1" applyFont="1" applyBorder="1" applyAlignment="1" applyProtection="1">
      <alignment horizontal="center" vertical="center" wrapText="1"/>
      <protection/>
    </xf>
    <xf numFmtId="170" fontId="0" fillId="0" borderId="74" xfId="99" applyFont="1" applyBorder="1" applyAlignment="1" applyProtection="1">
      <alignment horizontal="center" vertical="center" wrapText="1"/>
      <protection/>
    </xf>
    <xf numFmtId="179" fontId="0" fillId="0" borderId="91" xfId="99" applyNumberFormat="1" applyFont="1" applyBorder="1" applyAlignment="1" applyProtection="1">
      <alignment horizontal="center" vertical="center" wrapText="1"/>
      <protection/>
    </xf>
    <xf numFmtId="179" fontId="0" fillId="0" borderId="83" xfId="99" applyNumberFormat="1" applyFont="1" applyBorder="1" applyAlignment="1" applyProtection="1">
      <alignment horizontal="center" vertical="center" wrapText="1"/>
      <protection/>
    </xf>
    <xf numFmtId="0" fontId="0" fillId="0" borderId="74" xfId="0" applyFont="1" applyBorder="1" applyAlignment="1" applyProtection="1">
      <alignment horizontal="center" vertical="center" wrapText="1"/>
      <protection/>
    </xf>
    <xf numFmtId="0" fontId="0" fillId="0" borderId="79" xfId="0" applyFont="1" applyBorder="1" applyAlignment="1" applyProtection="1">
      <alignment horizontal="center" vertical="center" wrapText="1"/>
      <protection/>
    </xf>
    <xf numFmtId="0" fontId="0" fillId="0" borderId="83" xfId="0" applyFont="1" applyBorder="1" applyAlignment="1" applyProtection="1">
      <alignment horizontal="center" vertical="center" wrapText="1"/>
      <protection/>
    </xf>
    <xf numFmtId="0" fontId="0" fillId="0" borderId="91" xfId="0" applyFont="1" applyBorder="1" applyAlignment="1" applyProtection="1">
      <alignment horizontal="center" vertical="center" wrapText="1"/>
      <protection/>
    </xf>
    <xf numFmtId="170" fontId="0" fillId="0" borderId="79" xfId="99" applyFont="1" applyBorder="1" applyAlignment="1" applyProtection="1">
      <alignment horizontal="center" vertical="center" wrapText="1"/>
      <protection/>
    </xf>
    <xf numFmtId="0" fontId="0" fillId="0" borderId="84"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73" fontId="0" fillId="0" borderId="17" xfId="96" applyNumberFormat="1" applyFont="1" applyBorder="1" applyAlignment="1" applyProtection="1">
      <alignment vertical="center"/>
      <protection/>
    </xf>
    <xf numFmtId="170" fontId="0" fillId="0" borderId="16" xfId="99" applyFont="1" applyBorder="1" applyAlignment="1" applyProtection="1">
      <alignment vertical="center"/>
      <protection/>
    </xf>
    <xf numFmtId="179" fontId="0" fillId="0" borderId="18" xfId="99" applyNumberFormat="1" applyFont="1" applyBorder="1" applyAlignment="1" applyProtection="1">
      <alignment vertical="center"/>
      <protection/>
    </xf>
    <xf numFmtId="179" fontId="0" fillId="0" borderId="92" xfId="99" applyNumberFormat="1" applyFont="1" applyBorder="1" applyAlignment="1" applyProtection="1">
      <alignment vertical="center"/>
      <protection/>
    </xf>
    <xf numFmtId="179" fontId="0" fillId="0" borderId="19" xfId="0" applyNumberFormat="1" applyFont="1" applyBorder="1" applyAlignment="1" applyProtection="1">
      <alignment vertical="center"/>
      <protection/>
    </xf>
    <xf numFmtId="10" fontId="0" fillId="0" borderId="92" xfId="143" applyNumberFormat="1" applyFont="1" applyBorder="1" applyAlignment="1" applyProtection="1">
      <alignment vertical="center"/>
      <protection/>
    </xf>
    <xf numFmtId="173" fontId="0" fillId="0" borderId="18" xfId="96" applyNumberFormat="1" applyFont="1" applyBorder="1" applyAlignment="1" applyProtection="1">
      <alignment vertical="center"/>
      <protection/>
    </xf>
    <xf numFmtId="0" fontId="0" fillId="0" borderId="19" xfId="0" applyFont="1" applyBorder="1" applyAlignment="1" applyProtection="1">
      <alignment vertical="center"/>
      <protection/>
    </xf>
    <xf numFmtId="173" fontId="0" fillId="0" borderId="93" xfId="96" applyNumberFormat="1" applyFont="1" applyBorder="1" applyAlignment="1" applyProtection="1">
      <alignment vertical="center"/>
      <protection/>
    </xf>
    <xf numFmtId="0" fontId="0" fillId="0" borderId="21" xfId="0" applyFont="1" applyBorder="1" applyAlignment="1" applyProtection="1">
      <alignment vertical="center"/>
      <protection/>
    </xf>
    <xf numFmtId="179" fontId="0" fillId="0" borderId="62" xfId="99" applyNumberFormat="1" applyFont="1" applyBorder="1" applyAlignment="1" applyProtection="1">
      <alignment vertical="center"/>
      <protection/>
    </xf>
    <xf numFmtId="179" fontId="0" fillId="0" borderId="94" xfId="99" applyNumberFormat="1" applyFont="1" applyBorder="1" applyAlignment="1" applyProtection="1">
      <alignment vertical="center"/>
      <protection/>
    </xf>
    <xf numFmtId="170" fontId="0" fillId="0" borderId="20" xfId="99" applyFont="1" applyBorder="1" applyAlignment="1" applyProtection="1">
      <alignment vertical="center"/>
      <protection/>
    </xf>
    <xf numFmtId="179" fontId="0" fillId="0" borderId="21" xfId="0" applyNumberFormat="1" applyFont="1" applyBorder="1" applyAlignment="1" applyProtection="1">
      <alignment vertical="center"/>
      <protection/>
    </xf>
    <xf numFmtId="10" fontId="0" fillId="0" borderId="94" xfId="143" applyNumberFormat="1" applyFont="1" applyBorder="1" applyAlignment="1" applyProtection="1">
      <alignment vertical="center"/>
      <protection/>
    </xf>
    <xf numFmtId="0" fontId="0" fillId="0" borderId="23" xfId="0" applyFont="1" applyBorder="1" applyAlignment="1" applyProtection="1">
      <alignment vertical="center"/>
      <protection/>
    </xf>
    <xf numFmtId="179" fontId="0" fillId="0" borderId="64" xfId="99" applyNumberFormat="1" applyFont="1" applyBorder="1" applyAlignment="1" applyProtection="1">
      <alignment vertical="center"/>
      <protection/>
    </xf>
    <xf numFmtId="179" fontId="0" fillId="0" borderId="95" xfId="99" applyNumberFormat="1" applyFont="1" applyBorder="1" applyAlignment="1" applyProtection="1">
      <alignment vertical="center"/>
      <protection/>
    </xf>
    <xf numFmtId="170" fontId="0" fillId="0" borderId="22" xfId="99" applyFont="1" applyBorder="1" applyAlignment="1" applyProtection="1">
      <alignment vertical="center"/>
      <protection/>
    </xf>
    <xf numFmtId="179" fontId="0" fillId="0" borderId="23" xfId="0" applyNumberFormat="1" applyFont="1" applyBorder="1" applyAlignment="1" applyProtection="1">
      <alignment vertical="center"/>
      <protection/>
    </xf>
    <xf numFmtId="10" fontId="0" fillId="0" borderId="95" xfId="143" applyNumberFormat="1" applyFont="1" applyBorder="1" applyAlignment="1" applyProtection="1">
      <alignment vertical="center"/>
      <protection/>
    </xf>
    <xf numFmtId="170" fontId="0" fillId="0" borderId="16" xfId="99" applyNumberFormat="1" applyFont="1" applyBorder="1" applyAlignment="1" applyProtection="1">
      <alignment vertical="center"/>
      <protection/>
    </xf>
    <xf numFmtId="10" fontId="0" fillId="0" borderId="0" xfId="143" applyNumberFormat="1" applyFont="1" applyBorder="1" applyAlignment="1" applyProtection="1">
      <alignment vertical="center"/>
      <protection/>
    </xf>
    <xf numFmtId="0" fontId="0" fillId="0" borderId="76" xfId="0" applyFont="1" applyBorder="1" applyAlignment="1" applyProtection="1">
      <alignment vertical="center"/>
      <protection/>
    </xf>
    <xf numFmtId="173" fontId="0" fillId="0" borderId="96" xfId="96" applyNumberFormat="1" applyFont="1" applyBorder="1" applyAlignment="1" applyProtection="1">
      <alignment vertical="center"/>
      <protection/>
    </xf>
    <xf numFmtId="170" fontId="0" fillId="0" borderId="70" xfId="99" applyFont="1" applyBorder="1" applyAlignment="1" applyProtection="1">
      <alignment vertical="center"/>
      <protection/>
    </xf>
    <xf numFmtId="179" fontId="0" fillId="0" borderId="71" xfId="99" applyNumberFormat="1" applyFont="1" applyBorder="1" applyAlignment="1" applyProtection="1">
      <alignment vertical="center"/>
      <protection/>
    </xf>
    <xf numFmtId="179" fontId="0" fillId="0" borderId="97" xfId="99" applyNumberFormat="1" applyFont="1" applyBorder="1" applyAlignment="1" applyProtection="1">
      <alignment vertical="center"/>
      <protection/>
    </xf>
    <xf numFmtId="0" fontId="0" fillId="0" borderId="70" xfId="0" applyFont="1" applyBorder="1" applyAlignment="1" applyProtection="1">
      <alignment vertical="center"/>
      <protection/>
    </xf>
    <xf numFmtId="0" fontId="0" fillId="0" borderId="72" xfId="0" applyFont="1" applyBorder="1" applyAlignment="1" applyProtection="1">
      <alignment vertical="center"/>
      <protection/>
    </xf>
    <xf numFmtId="0" fontId="0" fillId="0" borderId="98" xfId="0" applyFont="1" applyBorder="1" applyAlignment="1" applyProtection="1">
      <alignment vertical="center"/>
      <protection/>
    </xf>
    <xf numFmtId="0" fontId="0" fillId="0" borderId="99" xfId="0" applyFont="1" applyBorder="1" applyAlignment="1" applyProtection="1">
      <alignment vertical="center"/>
      <protection/>
    </xf>
    <xf numFmtId="0" fontId="0" fillId="0" borderId="100" xfId="0" applyFont="1" applyBorder="1" applyAlignment="1" applyProtection="1">
      <alignment vertical="center"/>
      <protection/>
    </xf>
    <xf numFmtId="0" fontId="0" fillId="0" borderId="101" xfId="0" applyFont="1" applyBorder="1" applyAlignment="1" applyProtection="1">
      <alignment vertical="center"/>
      <protection/>
    </xf>
    <xf numFmtId="0" fontId="0" fillId="0" borderId="102" xfId="0" applyFont="1" applyBorder="1" applyAlignment="1" applyProtection="1">
      <alignment vertical="center"/>
      <protection/>
    </xf>
    <xf numFmtId="0" fontId="0" fillId="0" borderId="85" xfId="0" applyFont="1" applyBorder="1" applyAlignment="1" applyProtection="1">
      <alignment vertical="center"/>
      <protection/>
    </xf>
    <xf numFmtId="0" fontId="0" fillId="0" borderId="28" xfId="0" applyFont="1" applyBorder="1" applyAlignment="1" applyProtection="1">
      <alignment vertical="center"/>
      <protection/>
    </xf>
    <xf numFmtId="173" fontId="0" fillId="0" borderId="28" xfId="96" applyNumberFormat="1" applyFont="1" applyBorder="1" applyAlignment="1" applyProtection="1">
      <alignment vertical="center"/>
      <protection/>
    </xf>
    <xf numFmtId="170" fontId="0" fillId="0" borderId="99" xfId="99" applyFont="1" applyBorder="1" applyAlignment="1" applyProtection="1">
      <alignment vertical="center"/>
      <protection/>
    </xf>
    <xf numFmtId="179" fontId="0" fillId="0" borderId="99" xfId="99" applyNumberFormat="1" applyFont="1" applyBorder="1" applyAlignment="1" applyProtection="1">
      <alignment vertical="center"/>
      <protection/>
    </xf>
    <xf numFmtId="179" fontId="0" fillId="0" borderId="28" xfId="99" applyNumberFormat="1" applyFont="1" applyBorder="1" applyAlignment="1" applyProtection="1">
      <alignment vertical="center"/>
      <protection/>
    </xf>
    <xf numFmtId="179" fontId="0" fillId="0" borderId="103" xfId="99" applyNumberFormat="1" applyFont="1" applyBorder="1" applyAlignment="1" applyProtection="1">
      <alignment vertical="center"/>
      <protection/>
    </xf>
    <xf numFmtId="179" fontId="0" fillId="0" borderId="104" xfId="99" applyNumberFormat="1" applyFont="1" applyBorder="1" applyAlignment="1" applyProtection="1">
      <alignment vertical="center"/>
      <protection/>
    </xf>
    <xf numFmtId="0" fontId="3" fillId="0" borderId="72" xfId="0" applyFont="1" applyBorder="1" applyAlignment="1" applyProtection="1">
      <alignment horizontal="right" vertical="center"/>
      <protection/>
    </xf>
    <xf numFmtId="179" fontId="3" fillId="0" borderId="72" xfId="99" applyNumberFormat="1" applyFont="1" applyBorder="1" applyAlignment="1" applyProtection="1">
      <alignment vertical="center"/>
      <protection/>
    </xf>
    <xf numFmtId="0" fontId="0" fillId="0" borderId="80"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105" xfId="0" applyFont="1" applyBorder="1" applyAlignment="1" applyProtection="1">
      <alignment vertical="center"/>
      <protection/>
    </xf>
    <xf numFmtId="179" fontId="0" fillId="0" borderId="0" xfId="99" applyNumberFormat="1" applyFont="1" applyFill="1" applyAlignment="1" applyProtection="1">
      <alignment vertical="center"/>
      <protection/>
    </xf>
    <xf numFmtId="180" fontId="0" fillId="0" borderId="0" xfId="0" applyNumberFormat="1" applyFont="1" applyFill="1" applyAlignment="1" applyProtection="1">
      <alignment vertical="center"/>
      <protection/>
    </xf>
    <xf numFmtId="179" fontId="1" fillId="0" borderId="0" xfId="99" applyNumberFormat="1" applyFont="1" applyFill="1" applyAlignment="1" applyProtection="1">
      <alignment vertical="center"/>
      <protection/>
    </xf>
    <xf numFmtId="173" fontId="0" fillId="0" borderId="0" xfId="96" applyNumberFormat="1" applyFont="1" applyFill="1" applyBorder="1" applyAlignment="1" applyProtection="1">
      <alignment horizontal="right" vertical="center"/>
      <protection/>
    </xf>
    <xf numFmtId="179" fontId="0" fillId="0" borderId="0" xfId="99" applyNumberFormat="1" applyFont="1" applyFill="1" applyBorder="1" applyAlignment="1" applyProtection="1">
      <alignment vertical="center"/>
      <protection/>
    </xf>
    <xf numFmtId="10" fontId="1" fillId="0" borderId="0" xfId="143" applyNumberFormat="1" applyFont="1" applyFill="1" applyBorder="1" applyAlignment="1" applyProtection="1">
      <alignment horizontal="center" vertical="center"/>
      <protection/>
    </xf>
    <xf numFmtId="0" fontId="0" fillId="0" borderId="0" xfId="96"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180" fontId="0" fillId="0" borderId="0" xfId="0" applyNumberFormat="1" applyFont="1" applyFill="1" applyBorder="1" applyAlignment="1" applyProtection="1">
      <alignment vertical="center"/>
      <protection/>
    </xf>
    <xf numFmtId="191" fontId="0" fillId="0" borderId="0" xfId="99" applyNumberFormat="1" applyFont="1" applyFill="1" applyBorder="1" applyAlignment="1" applyProtection="1">
      <alignment vertical="center"/>
      <protection/>
    </xf>
    <xf numFmtId="37" fontId="0" fillId="0" borderId="0" xfId="99" applyNumberFormat="1" applyFont="1" applyFill="1" applyBorder="1" applyAlignment="1" applyProtection="1">
      <alignment vertical="center"/>
      <protection/>
    </xf>
    <xf numFmtId="0" fontId="0" fillId="0" borderId="0" xfId="96" applyNumberFormat="1" applyFont="1" applyAlignment="1" applyProtection="1">
      <alignment horizontal="right" vertical="center"/>
      <protection/>
    </xf>
    <xf numFmtId="0" fontId="0" fillId="0" borderId="0" xfId="0" applyFont="1" applyAlignment="1" applyProtection="1">
      <alignment/>
      <protection/>
    </xf>
    <xf numFmtId="179" fontId="0" fillId="0" borderId="0" xfId="99" applyNumberFormat="1" applyFont="1" applyFill="1" applyBorder="1" applyAlignment="1" applyProtection="1">
      <alignment horizontal="right" vertical="center"/>
      <protection/>
    </xf>
    <xf numFmtId="0" fontId="0" fillId="0" borderId="106" xfId="0" applyBorder="1" applyAlignment="1" applyProtection="1">
      <alignment horizontal="center" vertical="center"/>
      <protection/>
    </xf>
    <xf numFmtId="174" fontId="1" fillId="25" borderId="27" xfId="143" applyNumberFormat="1" applyFont="1" applyFill="1" applyBorder="1" applyAlignment="1" applyProtection="1">
      <alignment vertical="center"/>
      <protection/>
    </xf>
    <xf numFmtId="0" fontId="3" fillId="0" borderId="69" xfId="0" applyFont="1" applyBorder="1" applyAlignment="1" applyProtection="1">
      <alignment vertical="center"/>
      <protection/>
    </xf>
    <xf numFmtId="0" fontId="6" fillId="0" borderId="0" xfId="0" applyFont="1" applyAlignment="1" applyProtection="1">
      <alignment vertical="center"/>
      <protection/>
    </xf>
    <xf numFmtId="3" fontId="0" fillId="26" borderId="16" xfId="143" applyNumberFormat="1" applyFont="1" applyFill="1" applyBorder="1" applyAlignment="1" applyProtection="1">
      <alignment vertical="center"/>
      <protection/>
    </xf>
    <xf numFmtId="3" fontId="1" fillId="26" borderId="24" xfId="143" applyNumberFormat="1" applyFont="1" applyFill="1" applyBorder="1" applyAlignment="1" applyProtection="1">
      <alignment vertical="center"/>
      <protection/>
    </xf>
    <xf numFmtId="181" fontId="20" fillId="26" borderId="60" xfId="143" applyNumberFormat="1" applyFont="1" applyFill="1" applyBorder="1" applyAlignment="1" applyProtection="1">
      <alignment vertical="center"/>
      <protection/>
    </xf>
    <xf numFmtId="181" fontId="21" fillId="0" borderId="0" xfId="0" applyNumberFormat="1" applyFont="1" applyAlignment="1" applyProtection="1">
      <alignment vertical="center"/>
      <protection/>
    </xf>
    <xf numFmtId="0" fontId="3" fillId="0" borderId="78" xfId="0" applyFont="1" applyBorder="1" applyAlignment="1" applyProtection="1">
      <alignment vertical="center"/>
      <protection/>
    </xf>
    <xf numFmtId="181" fontId="0" fillId="0" borderId="0" xfId="0" applyNumberForma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171" fontId="0" fillId="0" borderId="0" xfId="96" applyFont="1" applyFill="1" applyBorder="1" applyAlignment="1" applyProtection="1">
      <alignment vertical="center"/>
      <protection/>
    </xf>
    <xf numFmtId="188" fontId="0" fillId="0" borderId="0" xfId="143" applyNumberFormat="1" applyFill="1" applyBorder="1" applyAlignment="1" applyProtection="1">
      <alignment horizontal="center" vertical="center"/>
      <protection/>
    </xf>
    <xf numFmtId="10" fontId="0" fillId="0" borderId="0" xfId="143" applyNumberFormat="1" applyFont="1" applyFill="1" applyBorder="1" applyAlignment="1" applyProtection="1">
      <alignment horizontal="center" vertical="center"/>
      <protection/>
    </xf>
    <xf numFmtId="173" fontId="0" fillId="0" borderId="0" xfId="96" applyNumberFormat="1" applyFill="1" applyBorder="1" applyAlignment="1" applyProtection="1">
      <alignment vertical="center"/>
      <protection/>
    </xf>
    <xf numFmtId="173" fontId="0" fillId="0" borderId="0" xfId="0" applyNumberFormat="1" applyFill="1" applyBorder="1" applyAlignment="1" applyProtection="1">
      <alignment vertical="center"/>
      <protection/>
    </xf>
    <xf numFmtId="175" fontId="0" fillId="0" borderId="0" xfId="0" applyNumberFormat="1" applyFill="1" applyBorder="1" applyAlignment="1" applyProtection="1">
      <alignment vertical="center"/>
      <protection/>
    </xf>
    <xf numFmtId="172" fontId="0" fillId="0" borderId="0" xfId="96" applyNumberFormat="1" applyFont="1" applyFill="1" applyBorder="1" applyAlignment="1" applyProtection="1">
      <alignment vertical="center"/>
      <protection/>
    </xf>
    <xf numFmtId="179" fontId="0" fillId="0" borderId="0" xfId="99" applyNumberFormat="1" applyFont="1" applyFill="1" applyBorder="1" applyAlignment="1" applyProtection="1">
      <alignment vertical="center"/>
      <protection/>
    </xf>
    <xf numFmtId="176" fontId="0" fillId="0" borderId="0" xfId="96" applyNumberFormat="1" applyFont="1" applyFill="1" applyBorder="1" applyAlignment="1" applyProtection="1">
      <alignment horizontal="center" vertical="center"/>
      <protection/>
    </xf>
    <xf numFmtId="172" fontId="0" fillId="0" borderId="0" xfId="96" applyNumberFormat="1" applyFont="1" applyFill="1" applyBorder="1" applyAlignment="1" applyProtection="1">
      <alignment horizontal="center" vertical="center"/>
      <protection/>
    </xf>
    <xf numFmtId="177" fontId="0" fillId="0" borderId="0" xfId="0" applyNumberFormat="1" applyFill="1" applyBorder="1" applyAlignment="1" applyProtection="1">
      <alignment vertical="center"/>
      <protection/>
    </xf>
    <xf numFmtId="170" fontId="0" fillId="0" borderId="0" xfId="99" applyFont="1" applyFill="1" applyBorder="1" applyAlignment="1" applyProtection="1">
      <alignment vertical="center"/>
      <protection/>
    </xf>
    <xf numFmtId="10" fontId="1" fillId="0" borderId="0" xfId="96" applyNumberFormat="1" applyFont="1" applyFill="1" applyBorder="1" applyAlignment="1" applyProtection="1">
      <alignment horizontal="right" vertical="center"/>
      <protection/>
    </xf>
    <xf numFmtId="182" fontId="1" fillId="0" borderId="0" xfId="0" applyNumberFormat="1" applyFont="1" applyFill="1" applyBorder="1" applyAlignment="1" applyProtection="1">
      <alignment vertical="center"/>
      <protection/>
    </xf>
    <xf numFmtId="179" fontId="17" fillId="0" borderId="0" xfId="99" applyNumberFormat="1" applyFont="1" applyFill="1" applyBorder="1" applyAlignment="1" applyProtection="1">
      <alignment vertical="center"/>
      <protection/>
    </xf>
    <xf numFmtId="0" fontId="0" fillId="0" borderId="83" xfId="0" applyFont="1" applyBorder="1" applyAlignment="1" applyProtection="1">
      <alignment vertical="center" wrapText="1"/>
      <protection/>
    </xf>
    <xf numFmtId="0" fontId="0" fillId="0" borderId="96" xfId="0" applyFont="1" applyBorder="1" applyAlignment="1" applyProtection="1">
      <alignment horizontal="center" vertical="center"/>
      <protection/>
    </xf>
    <xf numFmtId="0" fontId="0" fillId="0" borderId="97" xfId="0" applyFont="1" applyBorder="1" applyAlignment="1" applyProtection="1">
      <alignment horizontal="center" vertical="center"/>
      <protection/>
    </xf>
    <xf numFmtId="0" fontId="1" fillId="0" borderId="0" xfId="0" applyFont="1" applyBorder="1" applyAlignment="1" applyProtection="1">
      <alignment vertical="center"/>
      <protection/>
    </xf>
    <xf numFmtId="174" fontId="0" fillId="0" borderId="12" xfId="143" applyNumberFormat="1" applyFont="1" applyBorder="1" applyAlignment="1" applyProtection="1">
      <alignment vertical="center"/>
      <protection/>
    </xf>
    <xf numFmtId="174" fontId="1" fillId="0" borderId="12" xfId="143" applyNumberFormat="1" applyFont="1" applyBorder="1" applyAlignment="1" applyProtection="1">
      <alignment vertical="center"/>
      <protection/>
    </xf>
    <xf numFmtId="174" fontId="1" fillId="0" borderId="12" xfId="143" applyNumberFormat="1" applyFont="1" applyFill="1" applyBorder="1" applyAlignment="1" applyProtection="1">
      <alignment vertical="center"/>
      <protection/>
    </xf>
    <xf numFmtId="174" fontId="1" fillId="25" borderId="42" xfId="143" applyNumberFormat="1" applyFont="1" applyFill="1" applyBorder="1" applyAlignment="1" applyProtection="1">
      <alignment vertical="center"/>
      <protection/>
    </xf>
    <xf numFmtId="0" fontId="1" fillId="0" borderId="77" xfId="0" applyFont="1" applyFill="1" applyBorder="1" applyAlignment="1" applyProtection="1">
      <alignment vertical="center"/>
      <protection/>
    </xf>
    <xf numFmtId="174" fontId="1" fillId="0" borderId="77" xfId="143" applyNumberFormat="1" applyFont="1" applyFill="1" applyBorder="1" applyAlignment="1" applyProtection="1">
      <alignment vertical="center"/>
      <protection/>
    </xf>
    <xf numFmtId="0" fontId="1" fillId="25" borderId="76" xfId="0" applyFont="1" applyFill="1" applyBorder="1" applyAlignment="1" applyProtection="1">
      <alignment vertical="center"/>
      <protection/>
    </xf>
    <xf numFmtId="174" fontId="1" fillId="25" borderId="76" xfId="143" applyNumberFormat="1" applyFont="1" applyFill="1" applyBorder="1" applyAlignment="1" applyProtection="1">
      <alignment vertical="center"/>
      <protection/>
    </xf>
    <xf numFmtId="0" fontId="0" fillId="0" borderId="12" xfId="0" applyFont="1" applyBorder="1" applyAlignment="1" applyProtection="1">
      <alignment vertical="center"/>
      <protection/>
    </xf>
    <xf numFmtId="0" fontId="1" fillId="25" borderId="12" xfId="0" applyFont="1" applyFill="1" applyBorder="1" applyAlignment="1" applyProtection="1">
      <alignment vertical="center"/>
      <protection/>
    </xf>
    <xf numFmtId="174" fontId="1" fillId="25" borderId="12" xfId="143" applyNumberFormat="1" applyFont="1" applyFill="1" applyBorder="1" applyAlignment="1" applyProtection="1">
      <alignment vertical="center"/>
      <protection/>
    </xf>
    <xf numFmtId="0" fontId="1" fillId="25" borderId="25"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9" fontId="2" fillId="0" borderId="36" xfId="0" applyNumberFormat="1" applyFont="1" applyBorder="1" applyAlignment="1" applyProtection="1">
      <alignment horizontal="right" vertical="center"/>
      <protection/>
    </xf>
    <xf numFmtId="9" fontId="1" fillId="0" borderId="107" xfId="0" applyNumberFormat="1" applyFont="1" applyBorder="1" applyAlignment="1" applyProtection="1">
      <alignment horizontal="center" vertical="center"/>
      <protection/>
    </xf>
    <xf numFmtId="0" fontId="3" fillId="0" borderId="96" xfId="0" applyFont="1" applyBorder="1" applyAlignment="1" applyProtection="1">
      <alignment horizontal="right" vertical="center"/>
      <protection/>
    </xf>
    <xf numFmtId="9" fontId="9" fillId="26" borderId="53" xfId="0" applyNumberFormat="1" applyFont="1" applyFill="1" applyBorder="1" applyAlignment="1" applyProtection="1">
      <alignment vertical="center"/>
      <protection/>
    </xf>
    <xf numFmtId="9" fontId="9" fillId="35" borderId="53" xfId="0" applyNumberFormat="1" applyFont="1" applyFill="1" applyBorder="1" applyAlignment="1" applyProtection="1">
      <alignment vertical="center"/>
      <protection/>
    </xf>
    <xf numFmtId="9" fontId="3" fillId="26" borderId="75" xfId="0" applyNumberFormat="1" applyFont="1" applyFill="1" applyBorder="1" applyAlignment="1" applyProtection="1">
      <alignment vertical="center"/>
      <protection/>
    </xf>
    <xf numFmtId="9" fontId="1" fillId="35" borderId="85" xfId="0" applyNumberFormat="1" applyFont="1" applyFill="1" applyBorder="1" applyAlignment="1" applyProtection="1">
      <alignment vertical="center"/>
      <protection/>
    </xf>
    <xf numFmtId="9" fontId="3" fillId="27" borderId="85" xfId="0" applyNumberFormat="1" applyFont="1" applyFill="1" applyBorder="1" applyAlignment="1" applyProtection="1">
      <alignment vertical="center"/>
      <protection/>
    </xf>
    <xf numFmtId="10" fontId="1" fillId="26" borderId="47" xfId="143" applyNumberFormat="1" applyFont="1" applyFill="1" applyBorder="1" applyAlignment="1" applyProtection="1">
      <alignment vertical="center"/>
      <protection/>
    </xf>
    <xf numFmtId="10" fontId="1" fillId="35" borderId="47" xfId="143" applyNumberFormat="1" applyFont="1" applyFill="1" applyBorder="1" applyAlignment="1" applyProtection="1">
      <alignment vertical="center"/>
      <protection/>
    </xf>
    <xf numFmtId="10" fontId="1" fillId="27" borderId="47" xfId="143" applyNumberFormat="1" applyFont="1" applyFill="1" applyBorder="1" applyAlignment="1" applyProtection="1">
      <alignment vertical="center"/>
      <protection/>
    </xf>
    <xf numFmtId="174" fontId="3" fillId="26" borderId="107" xfId="0" applyNumberFormat="1" applyFont="1" applyFill="1" applyBorder="1" applyAlignment="1" applyProtection="1">
      <alignment vertical="center"/>
      <protection/>
    </xf>
    <xf numFmtId="174" fontId="3" fillId="35" borderId="107" xfId="0" applyNumberFormat="1" applyFont="1" applyFill="1" applyBorder="1" applyAlignment="1" applyProtection="1">
      <alignment vertical="center"/>
      <protection/>
    </xf>
    <xf numFmtId="174" fontId="3" fillId="27" borderId="107" xfId="0" applyNumberFormat="1" applyFont="1" applyFill="1" applyBorder="1" applyAlignment="1" applyProtection="1">
      <alignment vertical="center"/>
      <protection/>
    </xf>
    <xf numFmtId="0" fontId="0" fillId="0" borderId="0" xfId="0" applyBorder="1" applyAlignment="1">
      <alignment vertical="center"/>
    </xf>
    <xf numFmtId="0" fontId="24" fillId="4" borderId="79" xfId="0" applyFont="1" applyFill="1" applyBorder="1" applyAlignment="1">
      <alignment horizontal="center" vertical="center" wrapText="1"/>
    </xf>
    <xf numFmtId="0" fontId="0" fillId="0" borderId="0" xfId="0" applyBorder="1" applyAlignment="1">
      <alignment vertical="center" wrapText="1"/>
    </xf>
    <xf numFmtId="0" fontId="24" fillId="0" borderId="0" xfId="0" applyFont="1" applyFill="1" applyBorder="1" applyAlignment="1">
      <alignment horizontal="right" vertical="center" wrapText="1"/>
    </xf>
    <xf numFmtId="0" fontId="24" fillId="0" borderId="0" xfId="0" applyFont="1" applyFill="1" applyBorder="1" applyAlignment="1">
      <alignment horizontal="right" vertical="center"/>
    </xf>
    <xf numFmtId="0" fontId="24" fillId="0" borderId="53" xfId="0" applyFont="1" applyFill="1" applyBorder="1" applyAlignment="1" applyProtection="1">
      <alignment vertical="center"/>
      <protection/>
    </xf>
    <xf numFmtId="4" fontId="0" fillId="0" borderId="0" xfId="0" applyNumberFormat="1" applyBorder="1" applyAlignment="1">
      <alignment vertical="center"/>
    </xf>
    <xf numFmtId="0" fontId="3" fillId="0" borderId="5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84" xfId="0" applyBorder="1" applyAlignment="1" applyProtection="1">
      <alignment vertical="center"/>
      <protection/>
    </xf>
    <xf numFmtId="0" fontId="1" fillId="0" borderId="53" xfId="0" applyFont="1" applyFill="1" applyBorder="1" applyAlignment="1" applyProtection="1">
      <alignment vertical="center"/>
      <protection/>
    </xf>
    <xf numFmtId="0" fontId="14" fillId="0" borderId="85" xfId="0" applyFont="1" applyFill="1" applyBorder="1" applyAlignment="1" applyProtection="1">
      <alignment vertical="center"/>
      <protection/>
    </xf>
    <xf numFmtId="0" fontId="0" fillId="0" borderId="53" xfId="0" applyFont="1" applyFill="1" applyBorder="1" applyAlignment="1" applyProtection="1">
      <alignment vertical="center"/>
      <protection/>
    </xf>
    <xf numFmtId="179" fontId="0" fillId="0" borderId="85" xfId="99" applyNumberFormat="1" applyFont="1" applyFill="1" applyBorder="1" applyAlignment="1" applyProtection="1">
      <alignment vertical="center"/>
      <protection/>
    </xf>
    <xf numFmtId="9" fontId="0" fillId="0" borderId="85" xfId="0" applyNumberFormat="1" applyFont="1" applyFill="1" applyBorder="1" applyAlignment="1" applyProtection="1">
      <alignment vertical="center"/>
      <protection/>
    </xf>
    <xf numFmtId="0" fontId="0" fillId="0" borderId="73" xfId="0" applyFont="1" applyBorder="1" applyAlignment="1" applyProtection="1">
      <alignment vertical="center"/>
      <protection/>
    </xf>
    <xf numFmtId="0" fontId="1" fillId="0" borderId="53" xfId="0" applyFont="1" applyFill="1" applyBorder="1" applyAlignment="1" applyProtection="1">
      <alignment horizontal="right" vertical="center"/>
      <protection/>
    </xf>
    <xf numFmtId="0" fontId="0" fillId="0" borderId="108" xfId="0" applyBorder="1" applyAlignment="1" applyProtection="1">
      <alignment horizontal="center" vertical="center"/>
      <protection/>
    </xf>
    <xf numFmtId="0" fontId="0" fillId="0" borderId="32" xfId="0" applyBorder="1" applyAlignment="1" applyProtection="1">
      <alignment vertical="center"/>
      <protection/>
    </xf>
    <xf numFmtId="0" fontId="0" fillId="0" borderId="70" xfId="0" applyBorder="1" applyAlignment="1" applyProtection="1">
      <alignment vertical="center"/>
      <protection/>
    </xf>
    <xf numFmtId="0" fontId="0" fillId="0" borderId="109" xfId="0" applyBorder="1" applyAlignment="1" applyProtection="1">
      <alignment vertical="center"/>
      <protection/>
    </xf>
    <xf numFmtId="0" fontId="0" fillId="0" borderId="0" xfId="0" applyFont="1" applyAlignment="1" applyProtection="1">
      <alignment vertical="center" wrapText="1"/>
      <protection/>
    </xf>
    <xf numFmtId="0" fontId="0" fillId="0" borderId="0" xfId="0" applyBorder="1" applyAlignment="1" applyProtection="1">
      <alignment vertical="center" wrapText="1"/>
      <protection/>
    </xf>
    <xf numFmtId="0" fontId="0" fillId="0" borderId="74" xfId="0" applyBorder="1" applyAlignment="1" applyProtection="1">
      <alignment vertical="center"/>
      <protection/>
    </xf>
    <xf numFmtId="0" fontId="0" fillId="0" borderId="47" xfId="0" applyBorder="1" applyAlignment="1" applyProtection="1">
      <alignment vertical="center"/>
      <protection/>
    </xf>
    <xf numFmtId="174" fontId="1" fillId="37" borderId="25" xfId="143" applyNumberFormat="1" applyFont="1" applyFill="1" applyBorder="1" applyAlignment="1" applyProtection="1">
      <alignment vertical="center"/>
      <protection/>
    </xf>
    <xf numFmtId="174" fontId="1" fillId="0" borderId="33" xfId="143" applyNumberFormat="1" applyFont="1" applyFill="1" applyBorder="1" applyAlignment="1" applyProtection="1">
      <alignment vertical="center"/>
      <protection/>
    </xf>
    <xf numFmtId="174" fontId="1" fillId="37" borderId="39" xfId="143" applyNumberFormat="1" applyFont="1" applyFill="1" applyBorder="1" applyAlignment="1" applyProtection="1">
      <alignment vertical="center"/>
      <protection/>
    </xf>
    <xf numFmtId="174" fontId="1" fillId="37" borderId="12" xfId="143" applyNumberFormat="1" applyFont="1" applyFill="1" applyBorder="1" applyAlignment="1" applyProtection="1">
      <alignment vertical="center"/>
      <protection/>
    </xf>
    <xf numFmtId="174" fontId="1" fillId="0" borderId="12" xfId="143" applyNumberFormat="1" applyFont="1" applyFill="1" applyBorder="1" applyAlignment="1" applyProtection="1">
      <alignment vertical="center"/>
      <protection/>
    </xf>
    <xf numFmtId="174" fontId="0" fillId="0" borderId="59" xfId="143" applyNumberFormat="1" applyFont="1" applyFill="1" applyBorder="1" applyAlignment="1" applyProtection="1">
      <alignment vertical="center"/>
      <protection/>
    </xf>
    <xf numFmtId="174" fontId="1" fillId="24" borderId="25" xfId="143" applyNumberFormat="1" applyFont="1" applyFill="1" applyBorder="1" applyAlignment="1" applyProtection="1">
      <alignment vertical="center"/>
      <protection/>
    </xf>
    <xf numFmtId="174" fontId="1" fillId="24" borderId="39" xfId="143" applyNumberFormat="1" applyFont="1" applyFill="1" applyBorder="1" applyAlignment="1" applyProtection="1">
      <alignment vertical="center"/>
      <protection/>
    </xf>
    <xf numFmtId="174" fontId="1" fillId="24" borderId="12" xfId="143" applyNumberFormat="1" applyFont="1" applyFill="1" applyBorder="1" applyAlignment="1" applyProtection="1">
      <alignment vertical="center"/>
      <protection/>
    </xf>
    <xf numFmtId="174" fontId="1" fillId="0" borderId="42" xfId="143" applyNumberFormat="1" applyFont="1" applyFill="1" applyBorder="1" applyAlignment="1" applyProtection="1">
      <alignment vertical="center"/>
      <protection/>
    </xf>
    <xf numFmtId="174" fontId="1" fillId="24" borderId="42" xfId="143" applyNumberFormat="1" applyFont="1" applyFill="1" applyBorder="1" applyAlignment="1" applyProtection="1">
      <alignment vertical="center"/>
      <protection/>
    </xf>
    <xf numFmtId="174" fontId="0" fillId="0" borderId="19" xfId="143" applyNumberFormat="1" applyFont="1" applyBorder="1" applyAlignment="1" applyProtection="1">
      <alignment vertical="center"/>
      <protection/>
    </xf>
    <xf numFmtId="174" fontId="0" fillId="0" borderId="21" xfId="143" applyNumberFormat="1" applyFont="1" applyBorder="1" applyAlignment="1" applyProtection="1">
      <alignment vertical="center"/>
      <protection/>
    </xf>
    <xf numFmtId="174" fontId="0" fillId="0" borderId="23" xfId="143" applyNumberFormat="1" applyFont="1" applyBorder="1" applyAlignment="1" applyProtection="1">
      <alignment vertical="center"/>
      <protection/>
    </xf>
    <xf numFmtId="174" fontId="1" fillId="25" borderId="39" xfId="143" applyNumberFormat="1" applyFont="1" applyFill="1" applyBorder="1" applyAlignment="1" applyProtection="1">
      <alignment vertical="center"/>
      <protection/>
    </xf>
    <xf numFmtId="174" fontId="1" fillId="24" borderId="44" xfId="143" applyNumberFormat="1" applyFont="1" applyFill="1" applyBorder="1" applyAlignment="1" applyProtection="1">
      <alignment vertical="center"/>
      <protection/>
    </xf>
    <xf numFmtId="174" fontId="0" fillId="0" borderId="92" xfId="143" applyNumberFormat="1" applyFont="1" applyBorder="1" applyAlignment="1" applyProtection="1">
      <alignment vertical="center"/>
      <protection/>
    </xf>
    <xf numFmtId="174" fontId="0" fillId="0" borderId="18" xfId="143" applyNumberFormat="1" applyFont="1" applyBorder="1" applyAlignment="1" applyProtection="1">
      <alignment vertical="center"/>
      <protection/>
    </xf>
    <xf numFmtId="174" fontId="0" fillId="0" borderId="62" xfId="143" applyNumberFormat="1" applyFont="1" applyBorder="1" applyAlignment="1" applyProtection="1">
      <alignment vertical="center"/>
      <protection/>
    </xf>
    <xf numFmtId="174" fontId="0" fillId="0" borderId="64" xfId="143" applyNumberFormat="1" applyFont="1" applyBorder="1" applyAlignment="1" applyProtection="1">
      <alignment vertical="center"/>
      <protection/>
    </xf>
    <xf numFmtId="174" fontId="1" fillId="24" borderId="29" xfId="143" applyNumberFormat="1" applyFont="1" applyFill="1" applyBorder="1" applyAlignment="1" applyProtection="1">
      <alignment vertical="center"/>
      <protection/>
    </xf>
    <xf numFmtId="174" fontId="1" fillId="24" borderId="30" xfId="143" applyNumberFormat="1" applyFont="1" applyFill="1" applyBorder="1" applyAlignment="1" applyProtection="1">
      <alignment vertical="center"/>
      <protection/>
    </xf>
    <xf numFmtId="174" fontId="1" fillId="0" borderId="36" xfId="143" applyNumberFormat="1" applyFont="1" applyFill="1" applyBorder="1" applyAlignment="1" applyProtection="1">
      <alignment vertical="center"/>
      <protection/>
    </xf>
    <xf numFmtId="174" fontId="1" fillId="0" borderId="86" xfId="143" applyNumberFormat="1" applyFont="1" applyFill="1" applyBorder="1" applyAlignment="1" applyProtection="1">
      <alignment vertical="center"/>
      <protection/>
    </xf>
    <xf numFmtId="174" fontId="1" fillId="25" borderId="41" xfId="143" applyNumberFormat="1" applyFont="1" applyFill="1" applyBorder="1" applyAlignment="1" applyProtection="1">
      <alignment vertical="center"/>
      <protection/>
    </xf>
    <xf numFmtId="174" fontId="1" fillId="25" borderId="40" xfId="143" applyNumberFormat="1" applyFont="1" applyFill="1" applyBorder="1" applyAlignment="1" applyProtection="1">
      <alignment vertical="center"/>
      <protection/>
    </xf>
    <xf numFmtId="174" fontId="0" fillId="0" borderId="94" xfId="143" applyNumberFormat="1" applyFont="1" applyBorder="1" applyAlignment="1" applyProtection="1">
      <alignment vertical="center"/>
      <protection/>
    </xf>
    <xf numFmtId="174" fontId="0" fillId="0" borderId="95" xfId="143" applyNumberFormat="1" applyFont="1" applyBorder="1" applyAlignment="1" applyProtection="1">
      <alignment vertical="center"/>
      <protection/>
    </xf>
    <xf numFmtId="174" fontId="1" fillId="24" borderId="15" xfId="143" applyNumberFormat="1" applyFont="1" applyFill="1" applyBorder="1" applyAlignment="1" applyProtection="1">
      <alignment vertical="center"/>
      <protection/>
    </xf>
    <xf numFmtId="174" fontId="1" fillId="24" borderId="14" xfId="143" applyNumberFormat="1" applyFont="1" applyFill="1" applyBorder="1" applyAlignment="1" applyProtection="1">
      <alignment vertical="center"/>
      <protection/>
    </xf>
    <xf numFmtId="174" fontId="1" fillId="0" borderId="29" xfId="143" applyNumberFormat="1" applyFont="1" applyFill="1" applyBorder="1" applyAlignment="1" applyProtection="1">
      <alignment vertical="center"/>
      <protection/>
    </xf>
    <xf numFmtId="174" fontId="1" fillId="0" borderId="30" xfId="143" applyNumberFormat="1" applyFont="1" applyFill="1" applyBorder="1" applyAlignment="1" applyProtection="1">
      <alignment vertical="center"/>
      <protection/>
    </xf>
    <xf numFmtId="174" fontId="1" fillId="24" borderId="46" xfId="143" applyNumberFormat="1" applyFont="1" applyFill="1" applyBorder="1" applyAlignment="1" applyProtection="1">
      <alignment vertical="center"/>
      <protection/>
    </xf>
    <xf numFmtId="174" fontId="1" fillId="24" borderId="45" xfId="143" applyNumberFormat="1" applyFont="1" applyFill="1" applyBorder="1" applyAlignment="1" applyProtection="1">
      <alignment vertical="center"/>
      <protection/>
    </xf>
    <xf numFmtId="174" fontId="1" fillId="24" borderId="110" xfId="143" applyNumberFormat="1" applyFont="1" applyFill="1" applyBorder="1" applyAlignment="1" applyProtection="1">
      <alignment vertical="center"/>
      <protection/>
    </xf>
    <xf numFmtId="174" fontId="0" fillId="0" borderId="111" xfId="143" applyNumberFormat="1" applyFont="1" applyBorder="1" applyAlignment="1" applyProtection="1">
      <alignment vertical="center"/>
      <protection/>
    </xf>
    <xf numFmtId="174" fontId="1" fillId="24" borderId="112" xfId="143" applyNumberFormat="1" applyFont="1" applyFill="1" applyBorder="1" applyAlignment="1" applyProtection="1">
      <alignment vertical="center"/>
      <protection/>
    </xf>
    <xf numFmtId="174" fontId="1" fillId="0" borderId="77" xfId="143" applyNumberFormat="1" applyFont="1" applyFill="1" applyBorder="1" applyAlignment="1" applyProtection="1">
      <alignment vertical="center"/>
      <protection/>
    </xf>
    <xf numFmtId="174" fontId="1" fillId="0" borderId="105" xfId="143" applyNumberFormat="1" applyFont="1" applyFill="1" applyBorder="1" applyAlignment="1" applyProtection="1">
      <alignment vertical="center"/>
      <protection/>
    </xf>
    <xf numFmtId="174" fontId="1" fillId="25" borderId="108" xfId="143" applyNumberFormat="1" applyFont="1" applyFill="1" applyBorder="1" applyAlignment="1" applyProtection="1">
      <alignment vertical="center"/>
      <protection/>
    </xf>
    <xf numFmtId="174" fontId="0" fillId="0" borderId="113" xfId="143" applyNumberFormat="1" applyFont="1" applyBorder="1" applyAlignment="1" applyProtection="1">
      <alignment vertical="center"/>
      <protection/>
    </xf>
    <xf numFmtId="174" fontId="0" fillId="0" borderId="114" xfId="143" applyNumberFormat="1" applyFont="1" applyBorder="1" applyAlignment="1" applyProtection="1">
      <alignment vertical="center"/>
      <protection/>
    </xf>
    <xf numFmtId="174" fontId="1" fillId="0" borderId="112" xfId="143" applyNumberFormat="1" applyFont="1" applyFill="1" applyBorder="1" applyAlignment="1" applyProtection="1">
      <alignment vertical="center"/>
      <protection/>
    </xf>
    <xf numFmtId="174" fontId="1" fillId="24" borderId="115" xfId="143" applyNumberFormat="1" applyFont="1" applyFill="1" applyBorder="1" applyAlignment="1" applyProtection="1">
      <alignment vertical="center"/>
      <protection/>
    </xf>
    <xf numFmtId="174" fontId="0" fillId="26" borderId="19" xfId="96" applyNumberFormat="1" applyFont="1" applyFill="1" applyBorder="1" applyAlignment="1" applyProtection="1">
      <alignment vertical="center"/>
      <protection/>
    </xf>
    <xf numFmtId="174" fontId="0" fillId="26" borderId="33" xfId="96" applyNumberFormat="1" applyFont="1" applyFill="1" applyBorder="1" applyAlignment="1" applyProtection="1">
      <alignment vertical="center"/>
      <protection/>
    </xf>
    <xf numFmtId="174" fontId="1" fillId="26" borderId="25" xfId="96" applyNumberFormat="1" applyFont="1" applyFill="1" applyBorder="1" applyAlignment="1" applyProtection="1">
      <alignment vertical="center"/>
      <protection/>
    </xf>
    <xf numFmtId="174" fontId="1" fillId="26" borderId="75" xfId="96" applyNumberFormat="1" applyFont="1" applyFill="1" applyBorder="1" applyAlignment="1" applyProtection="1">
      <alignment vertical="center"/>
      <protection/>
    </xf>
    <xf numFmtId="174" fontId="1" fillId="26" borderId="39" xfId="96" applyNumberFormat="1" applyFont="1" applyFill="1" applyBorder="1" applyAlignment="1" applyProtection="1">
      <alignment vertical="center"/>
      <protection/>
    </xf>
    <xf numFmtId="174" fontId="0" fillId="35" borderId="16" xfId="143" applyNumberFormat="1" applyFont="1" applyFill="1" applyBorder="1" applyAlignment="1" applyProtection="1">
      <alignment vertical="center"/>
      <protection/>
    </xf>
    <xf numFmtId="174" fontId="0" fillId="35" borderId="32" xfId="143" applyNumberFormat="1" applyFont="1" applyFill="1" applyBorder="1" applyAlignment="1" applyProtection="1">
      <alignment vertical="center"/>
      <protection/>
    </xf>
    <xf numFmtId="174" fontId="1" fillId="35" borderId="24" xfId="143" applyNumberFormat="1" applyFont="1" applyFill="1" applyBorder="1" applyAlignment="1" applyProtection="1">
      <alignment vertical="center"/>
      <protection/>
    </xf>
    <xf numFmtId="174" fontId="1" fillId="35" borderId="32" xfId="143" applyNumberFormat="1" applyFont="1" applyFill="1" applyBorder="1" applyAlignment="1" applyProtection="1">
      <alignment vertical="center"/>
      <protection/>
    </xf>
    <xf numFmtId="174" fontId="1" fillId="35" borderId="38" xfId="143" applyNumberFormat="1" applyFont="1" applyFill="1" applyBorder="1" applyAlignment="1" applyProtection="1">
      <alignment vertical="center"/>
      <protection/>
    </xf>
    <xf numFmtId="174" fontId="1" fillId="35" borderId="11" xfId="143" applyNumberFormat="1" applyFont="1" applyFill="1" applyBorder="1" applyAlignment="1" applyProtection="1">
      <alignment vertical="center"/>
      <protection/>
    </xf>
    <xf numFmtId="174" fontId="0" fillId="27" borderId="16" xfId="143" applyNumberFormat="1" applyFont="1" applyFill="1" applyBorder="1" applyAlignment="1" applyProtection="1">
      <alignment vertical="center"/>
      <protection/>
    </xf>
    <xf numFmtId="174" fontId="0" fillId="27" borderId="32" xfId="143" applyNumberFormat="1" applyFont="1" applyFill="1" applyBorder="1" applyAlignment="1" applyProtection="1">
      <alignment vertical="center"/>
      <protection/>
    </xf>
    <xf numFmtId="174" fontId="1" fillId="27" borderId="24" xfId="143" applyNumberFormat="1" applyFont="1" applyFill="1" applyBorder="1" applyAlignment="1" applyProtection="1">
      <alignment vertical="center"/>
      <protection/>
    </xf>
    <xf numFmtId="174" fontId="1" fillId="27" borderId="32" xfId="143" applyNumberFormat="1" applyFont="1" applyFill="1" applyBorder="1" applyAlignment="1" applyProtection="1">
      <alignment vertical="center"/>
      <protection/>
    </xf>
    <xf numFmtId="174" fontId="1" fillId="27" borderId="38" xfId="143" applyNumberFormat="1" applyFont="1" applyFill="1" applyBorder="1" applyAlignment="1" applyProtection="1">
      <alignment vertical="center"/>
      <protection/>
    </xf>
    <xf numFmtId="174" fontId="1" fillId="27" borderId="11" xfId="143" applyNumberFormat="1" applyFont="1" applyFill="1" applyBorder="1" applyAlignment="1" applyProtection="1">
      <alignment vertical="center"/>
      <protection/>
    </xf>
    <xf numFmtId="173" fontId="1" fillId="25" borderId="15" xfId="96" applyNumberFormat="1" applyFont="1" applyFill="1" applyBorder="1" applyAlignment="1" applyProtection="1">
      <alignment vertical="center"/>
      <protection/>
    </xf>
    <xf numFmtId="184" fontId="1" fillId="0" borderId="116" xfId="96" applyNumberFormat="1" applyFont="1" applyFill="1" applyBorder="1" applyAlignment="1" applyProtection="1">
      <alignment horizontal="center" vertical="center"/>
      <protection/>
    </xf>
    <xf numFmtId="184" fontId="1" fillId="0" borderId="113" xfId="96" applyNumberFormat="1" applyFont="1" applyFill="1" applyBorder="1" applyAlignment="1" applyProtection="1">
      <alignment horizontal="center" vertical="center"/>
      <protection/>
    </xf>
    <xf numFmtId="184" fontId="1" fillId="0" borderId="117" xfId="96" applyNumberFormat="1" applyFont="1" applyFill="1" applyBorder="1" applyAlignment="1" applyProtection="1">
      <alignment horizontal="center" vertical="center"/>
      <protection/>
    </xf>
    <xf numFmtId="184" fontId="1" fillId="25" borderId="118" xfId="96" applyNumberFormat="1" applyFont="1" applyFill="1" applyBorder="1" applyAlignment="1" applyProtection="1">
      <alignment horizontal="center" vertical="center"/>
      <protection/>
    </xf>
    <xf numFmtId="173" fontId="1" fillId="37" borderId="41" xfId="96" applyNumberFormat="1" applyFont="1" applyFill="1" applyBorder="1" applyAlignment="1" applyProtection="1">
      <alignment vertical="center"/>
      <protection/>
    </xf>
    <xf numFmtId="173" fontId="5" fillId="36" borderId="92" xfId="96" applyNumberFormat="1" applyFont="1" applyFill="1" applyBorder="1" applyAlignment="1" applyProtection="1">
      <alignment vertical="center"/>
      <protection/>
    </xf>
    <xf numFmtId="173" fontId="3" fillId="25" borderId="15" xfId="0" applyNumberFormat="1" applyFont="1" applyFill="1" applyBorder="1" applyAlignment="1" applyProtection="1">
      <alignment vertical="center"/>
      <protection/>
    </xf>
    <xf numFmtId="173" fontId="3" fillId="0" borderId="99" xfId="0" applyNumberFormat="1" applyFont="1" applyBorder="1" applyAlignment="1" applyProtection="1">
      <alignment vertical="center"/>
      <protection/>
    </xf>
    <xf numFmtId="173" fontId="1" fillId="25" borderId="11" xfId="96" applyNumberFormat="1" applyFont="1" applyFill="1" applyBorder="1" applyAlignment="1" applyProtection="1">
      <alignment vertical="center"/>
      <protection/>
    </xf>
    <xf numFmtId="187" fontId="1" fillId="0" borderId="16" xfId="99" applyNumberFormat="1" applyFont="1" applyFill="1" applyBorder="1" applyAlignment="1" applyProtection="1">
      <alignment horizontal="center" vertical="center"/>
      <protection/>
    </xf>
    <xf numFmtId="187" fontId="1" fillId="24" borderId="24" xfId="0" applyNumberFormat="1" applyFont="1" applyFill="1" applyBorder="1" applyAlignment="1" applyProtection="1">
      <alignment horizontal="center" vertical="center"/>
      <protection/>
    </xf>
    <xf numFmtId="173" fontId="1" fillId="0" borderId="32" xfId="96" applyNumberFormat="1" applyFont="1" applyFill="1" applyBorder="1" applyAlignment="1" applyProtection="1">
      <alignment vertical="center"/>
      <protection/>
    </xf>
    <xf numFmtId="173" fontId="1" fillId="37" borderId="38" xfId="96" applyNumberFormat="1" applyFont="1" applyFill="1" applyBorder="1" applyAlignment="1" applyProtection="1">
      <alignment vertical="center"/>
      <protection/>
    </xf>
    <xf numFmtId="173" fontId="5" fillId="36" borderId="16" xfId="96" applyNumberFormat="1" applyFont="1" applyFill="1" applyBorder="1" applyAlignment="1" applyProtection="1">
      <alignment vertical="center"/>
      <protection/>
    </xf>
    <xf numFmtId="173" fontId="3" fillId="25" borderId="11" xfId="0" applyNumberFormat="1" applyFont="1" applyFill="1" applyBorder="1" applyAlignment="1" applyProtection="1">
      <alignment vertical="center"/>
      <protection/>
    </xf>
    <xf numFmtId="173" fontId="3" fillId="0" borderId="70" xfId="0" applyNumberFormat="1" applyFont="1" applyBorder="1" applyAlignment="1" applyProtection="1">
      <alignment vertical="center"/>
      <protection/>
    </xf>
    <xf numFmtId="173" fontId="0" fillId="0" borderId="119" xfId="96" applyNumberFormat="1" applyFont="1" applyFill="1" applyBorder="1" applyAlignment="1" applyProtection="1">
      <alignment vertical="center"/>
      <protection/>
    </xf>
    <xf numFmtId="173" fontId="0" fillId="0" borderId="59" xfId="0" applyNumberFormat="1" applyFont="1" applyFill="1" applyBorder="1" applyAlignment="1" applyProtection="1">
      <alignment vertical="center"/>
      <protection/>
    </xf>
    <xf numFmtId="174" fontId="0" fillId="0" borderId="17" xfId="143" applyNumberFormat="1" applyFont="1" applyFill="1" applyBorder="1" applyAlignment="1" applyProtection="1">
      <alignment vertical="center"/>
      <protection/>
    </xf>
    <xf numFmtId="173" fontId="0" fillId="0" borderId="21" xfId="96" applyNumberFormat="1" applyFont="1" applyFill="1" applyBorder="1" applyAlignment="1" applyProtection="1">
      <alignment vertical="center"/>
      <protection/>
    </xf>
    <xf numFmtId="174" fontId="0" fillId="0" borderId="21" xfId="143" applyNumberFormat="1" applyFont="1" applyFill="1" applyBorder="1" applyAlignment="1" applyProtection="1">
      <alignment vertical="center"/>
      <protection/>
    </xf>
    <xf numFmtId="173" fontId="0" fillId="0" borderId="120" xfId="96" applyNumberFormat="1" applyFont="1" applyFill="1" applyBorder="1" applyAlignment="1" applyProtection="1">
      <alignment vertical="center"/>
      <protection/>
    </xf>
    <xf numFmtId="173" fontId="0" fillId="0" borderId="21" xfId="0" applyNumberFormat="1" applyFont="1" applyFill="1" applyBorder="1" applyAlignment="1" applyProtection="1">
      <alignment vertical="center"/>
      <protection/>
    </xf>
    <xf numFmtId="174" fontId="0" fillId="0" borderId="62" xfId="143" applyNumberFormat="1" applyFont="1" applyFill="1" applyBorder="1" applyAlignment="1" applyProtection="1">
      <alignment vertical="center"/>
      <protection/>
    </xf>
    <xf numFmtId="173" fontId="0" fillId="0" borderId="121" xfId="96" applyNumberFormat="1" applyFont="1" applyFill="1" applyBorder="1" applyAlignment="1" applyProtection="1">
      <alignment vertical="center"/>
      <protection/>
    </xf>
    <xf numFmtId="174" fontId="0" fillId="0" borderId="121" xfId="143" applyNumberFormat="1" applyFont="1" applyFill="1" applyBorder="1" applyAlignment="1" applyProtection="1">
      <alignment vertical="center"/>
      <protection/>
    </xf>
    <xf numFmtId="173" fontId="0" fillId="0" borderId="122" xfId="96" applyNumberFormat="1" applyFont="1" applyFill="1" applyBorder="1" applyAlignment="1" applyProtection="1">
      <alignment vertical="center"/>
      <protection/>
    </xf>
    <xf numFmtId="10" fontId="0" fillId="0" borderId="121" xfId="143" applyNumberFormat="1" applyFont="1" applyFill="1" applyBorder="1" applyAlignment="1" applyProtection="1">
      <alignment vertical="center"/>
      <protection/>
    </xf>
    <xf numFmtId="173" fontId="0" fillId="0" borderId="121" xfId="0" applyNumberFormat="1" applyBorder="1" applyAlignment="1" applyProtection="1">
      <alignment vertical="center"/>
      <protection/>
    </xf>
    <xf numFmtId="174" fontId="0" fillId="0" borderId="123" xfId="143" applyNumberFormat="1" applyFont="1" applyBorder="1" applyAlignment="1" applyProtection="1">
      <alignment vertical="center"/>
      <protection/>
    </xf>
    <xf numFmtId="173" fontId="0" fillId="0" borderId="119" xfId="143" applyNumberFormat="1" applyFont="1" applyBorder="1" applyAlignment="1" applyProtection="1">
      <alignment vertical="center"/>
      <protection/>
    </xf>
    <xf numFmtId="173" fontId="0" fillId="0" borderId="120" xfId="143" applyNumberFormat="1" applyFont="1" applyBorder="1" applyAlignment="1" applyProtection="1">
      <alignment vertical="center"/>
      <protection/>
    </xf>
    <xf numFmtId="173" fontId="0" fillId="0" borderId="122" xfId="143" applyNumberFormat="1" applyFont="1" applyBorder="1" applyAlignment="1" applyProtection="1">
      <alignment vertical="center"/>
      <protection/>
    </xf>
    <xf numFmtId="0" fontId="0" fillId="0" borderId="0"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47" xfId="0" applyBorder="1" applyAlignment="1" applyProtection="1">
      <alignment horizontal="center" vertical="center"/>
      <protection/>
    </xf>
    <xf numFmtId="166" fontId="0" fillId="0" borderId="32" xfId="0" applyNumberFormat="1" applyFont="1"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22" fillId="0" borderId="0" xfId="0" applyFont="1" applyBorder="1" applyAlignment="1" applyProtection="1">
      <alignment horizontal="left" vertical="center"/>
      <protection/>
    </xf>
    <xf numFmtId="0" fontId="23" fillId="0" borderId="0" xfId="0" applyFont="1" applyFill="1" applyBorder="1" applyAlignment="1" applyProtection="1">
      <alignment vertical="center"/>
      <protection/>
    </xf>
    <xf numFmtId="0" fontId="23" fillId="0" borderId="0" xfId="0" applyFont="1" applyBorder="1" applyAlignment="1" applyProtection="1">
      <alignment vertical="center"/>
      <protection/>
    </xf>
    <xf numFmtId="0" fontId="24" fillId="0" borderId="80" xfId="0" applyFont="1" applyFill="1" applyBorder="1" applyAlignment="1" applyProtection="1">
      <alignment horizontal="center" vertical="center" wrapText="1"/>
      <protection/>
    </xf>
    <xf numFmtId="0" fontId="24" fillId="0" borderId="51" xfId="0" applyFont="1" applyBorder="1" applyAlignment="1" applyProtection="1">
      <alignment horizontal="center" vertical="center" wrapText="1"/>
      <protection/>
    </xf>
    <xf numFmtId="4" fontId="24" fillId="0" borderId="0" xfId="0" applyNumberFormat="1" applyFont="1" applyFill="1" applyBorder="1" applyAlignment="1" applyProtection="1">
      <alignment horizontal="center" vertical="center"/>
      <protection/>
    </xf>
    <xf numFmtId="4" fontId="24" fillId="0" borderId="32" xfId="0" applyNumberFormat="1" applyFont="1" applyFill="1" applyBorder="1" applyAlignment="1" applyProtection="1">
      <alignment horizontal="center" vertical="center"/>
      <protection/>
    </xf>
    <xf numFmtId="4" fontId="24" fillId="22" borderId="11" xfId="0" applyNumberFormat="1" applyFont="1" applyFill="1" applyBorder="1" applyAlignment="1" applyProtection="1">
      <alignment horizontal="center" vertical="center"/>
      <protection/>
    </xf>
    <xf numFmtId="0" fontId="0" fillId="0" borderId="51" xfId="0" applyBorder="1" applyAlignment="1" applyProtection="1">
      <alignment vertical="center"/>
      <protection/>
    </xf>
    <xf numFmtId="4" fontId="24" fillId="22" borderId="24" xfId="0" applyNumberFormat="1" applyFont="1" applyFill="1" applyBorder="1" applyAlignment="1" applyProtection="1">
      <alignment horizontal="center" vertical="center"/>
      <protection/>
    </xf>
    <xf numFmtId="0" fontId="0" fillId="0" borderId="10" xfId="0" applyBorder="1" applyAlignment="1" applyProtection="1">
      <alignment vertical="center"/>
      <protection/>
    </xf>
    <xf numFmtId="0" fontId="24"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Border="1" applyAlignment="1" applyProtection="1" quotePrefix="1">
      <alignment vertical="center"/>
      <protection/>
    </xf>
    <xf numFmtId="0" fontId="0" fillId="0" borderId="0" xfId="0" applyAlignment="1" applyProtection="1">
      <alignment horizontal="left" vertical="center"/>
      <protection/>
    </xf>
    <xf numFmtId="0" fontId="1" fillId="34" borderId="80"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179" fontId="1" fillId="34" borderId="51" xfId="99" applyNumberFormat="1" applyFont="1" applyFill="1" applyBorder="1" applyAlignment="1" applyProtection="1">
      <alignment vertical="center"/>
      <protection/>
    </xf>
    <xf numFmtId="0" fontId="0" fillId="0" borderId="51" xfId="0" applyBorder="1" applyAlignment="1" applyProtection="1">
      <alignment/>
      <protection/>
    </xf>
    <xf numFmtId="0" fontId="7" fillId="0" borderId="0" xfId="0" applyFont="1" applyBorder="1" applyAlignment="1" applyProtection="1">
      <alignment horizontal="center" vertical="center"/>
      <protection/>
    </xf>
    <xf numFmtId="0" fontId="6" fillId="0" borderId="0" xfId="0" applyFont="1" applyAlignment="1">
      <alignment wrapText="1"/>
    </xf>
    <xf numFmtId="166" fontId="0" fillId="0" borderId="85" xfId="0" applyNumberFormat="1" applyFont="1" applyFill="1" applyBorder="1" applyAlignment="1" applyProtection="1">
      <alignment horizontal="center" vertical="center"/>
      <protection/>
    </xf>
    <xf numFmtId="179" fontId="1" fillId="29" borderId="52" xfId="99" applyNumberFormat="1" applyFont="1" applyFill="1" applyBorder="1" applyAlignment="1" applyProtection="1">
      <alignment vertical="center"/>
      <protection/>
    </xf>
    <xf numFmtId="3" fontId="1" fillId="29" borderId="49" xfId="99" applyNumberFormat="1" applyFont="1" applyFill="1" applyBorder="1" applyAlignment="1" applyProtection="1">
      <alignment vertical="center"/>
      <protection/>
    </xf>
    <xf numFmtId="179" fontId="0" fillId="29" borderId="92" xfId="99" applyNumberFormat="1" applyFont="1" applyFill="1" applyBorder="1" applyAlignment="1" applyProtection="1">
      <alignment vertical="center"/>
      <protection/>
    </xf>
    <xf numFmtId="179" fontId="0" fillId="29" borderId="94" xfId="99" applyNumberFormat="1" applyFont="1" applyFill="1" applyBorder="1" applyAlignment="1" applyProtection="1">
      <alignment vertical="center"/>
      <protection/>
    </xf>
    <xf numFmtId="179" fontId="0" fillId="29" borderId="95" xfId="99" applyNumberFormat="1" applyFont="1" applyFill="1" applyBorder="1" applyAlignment="1" applyProtection="1">
      <alignment vertical="center"/>
      <protection/>
    </xf>
    <xf numFmtId="179" fontId="1" fillId="29" borderId="28" xfId="99" applyNumberFormat="1" applyFont="1" applyFill="1" applyBorder="1" applyAlignment="1" applyProtection="1">
      <alignment vertical="center"/>
      <protection/>
    </xf>
    <xf numFmtId="179" fontId="1" fillId="29" borderId="0" xfId="99" applyNumberFormat="1" applyFont="1" applyFill="1" applyBorder="1" applyAlignment="1" applyProtection="1">
      <alignment vertical="center"/>
      <protection/>
    </xf>
    <xf numFmtId="179" fontId="1" fillId="29" borderId="41" xfId="99" applyNumberFormat="1" applyFont="1" applyFill="1" applyBorder="1" applyAlignment="1" applyProtection="1">
      <alignment vertical="center"/>
      <protection/>
    </xf>
    <xf numFmtId="179" fontId="1" fillId="29" borderId="15" xfId="99" applyNumberFormat="1" applyFont="1" applyFill="1" applyBorder="1" applyAlignment="1" applyProtection="1">
      <alignment vertical="center"/>
      <protection/>
    </xf>
    <xf numFmtId="179" fontId="0" fillId="29" borderId="0" xfId="99" applyNumberFormat="1" applyFont="1" applyFill="1" applyBorder="1" applyAlignment="1" applyProtection="1">
      <alignment vertical="center"/>
      <protection/>
    </xf>
    <xf numFmtId="179" fontId="1" fillId="29" borderId="92" xfId="99" applyNumberFormat="1" applyFont="1" applyFill="1" applyBorder="1" applyAlignment="1" applyProtection="1">
      <alignment vertical="center"/>
      <protection/>
    </xf>
    <xf numFmtId="179" fontId="3" fillId="29" borderId="15" xfId="99" applyNumberFormat="1" applyFont="1" applyFill="1" applyBorder="1" applyAlignment="1" applyProtection="1">
      <alignment horizontal="right" vertical="center"/>
      <protection/>
    </xf>
    <xf numFmtId="0" fontId="1" fillId="29" borderId="99" xfId="0" applyFont="1" applyFill="1" applyBorder="1" applyAlignment="1" applyProtection="1">
      <alignment vertical="center"/>
      <protection/>
    </xf>
    <xf numFmtId="179" fontId="3" fillId="29" borderId="49" xfId="99" applyNumberFormat="1" applyFont="1" applyFill="1" applyBorder="1" applyAlignment="1" applyProtection="1">
      <alignment horizontal="right" vertical="center"/>
      <protection/>
    </xf>
    <xf numFmtId="179" fontId="1" fillId="29" borderId="124" xfId="99" applyNumberFormat="1" applyFont="1" applyFill="1" applyBorder="1" applyAlignment="1" applyProtection="1">
      <alignment vertical="center"/>
      <protection/>
    </xf>
    <xf numFmtId="0" fontId="1" fillId="29" borderId="104" xfId="0" applyFont="1" applyFill="1" applyBorder="1" applyAlignment="1" applyProtection="1">
      <alignment vertical="center"/>
      <protection/>
    </xf>
    <xf numFmtId="174" fontId="0" fillId="0" borderId="12" xfId="143" applyNumberFormat="1" applyFont="1" applyBorder="1" applyAlignment="1" applyProtection="1">
      <alignment horizontal="right" vertical="center"/>
      <protection/>
    </xf>
    <xf numFmtId="174" fontId="1" fillId="0" borderId="12" xfId="143" applyNumberFormat="1" applyFont="1" applyFill="1" applyBorder="1" applyAlignment="1" applyProtection="1">
      <alignment horizontal="right" vertical="center"/>
      <protection/>
    </xf>
    <xf numFmtId="0" fontId="0" fillId="0" borderId="53" xfId="0" applyFill="1" applyBorder="1" applyAlignment="1" applyProtection="1">
      <alignment vertical="center"/>
      <protection/>
    </xf>
    <xf numFmtId="184" fontId="1" fillId="0" borderId="34" xfId="96" applyNumberFormat="1" applyFont="1" applyFill="1" applyBorder="1" applyAlignment="1" applyProtection="1">
      <alignment horizontal="center" vertical="center"/>
      <protection/>
    </xf>
    <xf numFmtId="184" fontId="1" fillId="0" borderId="53" xfId="96" applyNumberFormat="1"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6" fillId="0" borderId="0" xfId="0" applyFont="1" applyFill="1" applyAlignment="1">
      <alignment horizontal="justify" wrapText="1"/>
    </xf>
    <xf numFmtId="0" fontId="0" fillId="0" borderId="0" xfId="0" applyFill="1" applyBorder="1" applyAlignment="1" applyProtection="1">
      <alignment vertical="center" wrapText="1"/>
      <protection/>
    </xf>
    <xf numFmtId="4" fontId="24" fillId="0" borderId="51" xfId="0" applyNumberFormat="1" applyFont="1" applyFill="1" applyBorder="1" applyAlignment="1" applyProtection="1">
      <alignment horizontal="center" vertical="center"/>
      <protection/>
    </xf>
    <xf numFmtId="4" fontId="24" fillId="0" borderId="54" xfId="0" applyNumberFormat="1" applyFont="1" applyFill="1" applyBorder="1" applyAlignment="1" applyProtection="1">
      <alignment horizontal="center" vertical="center"/>
      <protection/>
    </xf>
    <xf numFmtId="4" fontId="24" fillId="0" borderId="67" xfId="0" applyNumberFormat="1" applyFont="1"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2" fontId="24" fillId="0" borderId="12" xfId="0" applyNumberFormat="1" applyFont="1" applyFill="1" applyBorder="1" applyAlignment="1" applyProtection="1">
      <alignment horizontal="center" vertical="center"/>
      <protection/>
    </xf>
    <xf numFmtId="179" fontId="0" fillId="0" borderId="0" xfId="0" applyNumberFormat="1" applyAlignment="1" applyProtection="1">
      <alignment horizontal="right" vertical="center"/>
      <protection/>
    </xf>
    <xf numFmtId="179" fontId="0" fillId="0" borderId="0" xfId="0" applyNumberFormat="1" applyFont="1" applyAlignment="1" applyProtection="1">
      <alignment horizontal="right" vertical="center"/>
      <protection/>
    </xf>
    <xf numFmtId="0" fontId="24" fillId="0" borderId="84"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0" fillId="0" borderId="50" xfId="0" applyFill="1" applyBorder="1" applyAlignment="1" applyProtection="1">
      <alignment horizontal="center" vertical="center"/>
      <protection/>
    </xf>
    <xf numFmtId="179" fontId="0" fillId="29" borderId="56" xfId="99" applyNumberFormat="1" applyFont="1" applyFill="1" applyBorder="1" applyAlignment="1" applyProtection="1">
      <alignment vertical="center"/>
      <protection/>
    </xf>
    <xf numFmtId="179" fontId="0" fillId="29" borderId="16" xfId="99" applyNumberFormat="1" applyFont="1" applyFill="1" applyBorder="1" applyAlignment="1" applyProtection="1">
      <alignment vertical="center"/>
      <protection/>
    </xf>
    <xf numFmtId="179" fontId="0" fillId="29" borderId="20" xfId="99" applyNumberFormat="1" applyFont="1" applyFill="1" applyBorder="1" applyAlignment="1" applyProtection="1">
      <alignment vertical="center"/>
      <protection/>
    </xf>
    <xf numFmtId="179" fontId="0" fillId="29" borderId="22" xfId="99" applyNumberFormat="1" applyFont="1" applyFill="1" applyBorder="1" applyAlignment="1" applyProtection="1">
      <alignment vertical="center"/>
      <protection/>
    </xf>
    <xf numFmtId="179" fontId="1" fillId="29" borderId="24" xfId="99" applyNumberFormat="1" applyFont="1" applyFill="1" applyBorder="1" applyAlignment="1" applyProtection="1">
      <alignment vertical="center"/>
      <protection/>
    </xf>
    <xf numFmtId="179" fontId="1" fillId="29" borderId="32" xfId="99" applyNumberFormat="1" applyFont="1" applyFill="1" applyBorder="1" applyAlignment="1" applyProtection="1">
      <alignment vertical="center"/>
      <protection/>
    </xf>
    <xf numFmtId="179" fontId="1" fillId="29" borderId="38" xfId="99" applyNumberFormat="1" applyFont="1" applyFill="1" applyBorder="1" applyAlignment="1" applyProtection="1">
      <alignment vertical="center"/>
      <protection/>
    </xf>
    <xf numFmtId="179" fontId="1" fillId="29" borderId="11" xfId="99" applyNumberFormat="1"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9" fillId="0" borderId="0" xfId="0" applyFont="1" applyBorder="1" applyAlignment="1" applyProtection="1">
      <alignment horizontal="left" vertical="center"/>
      <protection/>
    </xf>
    <xf numFmtId="0" fontId="27" fillId="0" borderId="0" xfId="0" applyFont="1" applyAlignment="1" applyProtection="1">
      <alignment vertical="center"/>
      <protection/>
    </xf>
    <xf numFmtId="173" fontId="27" fillId="0" borderId="0" xfId="0" applyNumberFormat="1" applyFont="1" applyAlignment="1" applyProtection="1">
      <alignment vertical="center"/>
      <protection/>
    </xf>
    <xf numFmtId="0" fontId="28" fillId="0" borderId="0" xfId="0" applyFont="1" applyFill="1" applyAlignment="1" applyProtection="1">
      <alignment vertical="center"/>
      <protection/>
    </xf>
    <xf numFmtId="0" fontId="27" fillId="0" borderId="0" xfId="0" applyFont="1" applyBorder="1" applyAlignment="1" applyProtection="1">
      <alignment vertical="center"/>
      <protection/>
    </xf>
    <xf numFmtId="0" fontId="29" fillId="0" borderId="0" xfId="0" applyFont="1" applyAlignment="1" applyProtection="1">
      <alignment horizontal="right" vertical="center"/>
      <protection/>
    </xf>
    <xf numFmtId="0" fontId="24" fillId="0" borderId="10" xfId="0" applyFont="1" applyFill="1" applyBorder="1" applyAlignment="1" applyProtection="1">
      <alignment horizontal="center" vertical="center" wrapText="1"/>
      <protection/>
    </xf>
    <xf numFmtId="0" fontId="24" fillId="0" borderId="90" xfId="0" applyFont="1" applyFill="1" applyBorder="1" applyAlignment="1" applyProtection="1">
      <alignment horizontal="center" vertical="center" wrapText="1"/>
      <protection/>
    </xf>
    <xf numFmtId="0" fontId="24" fillId="0" borderId="71" xfId="0" applyFont="1" applyFill="1" applyBorder="1" applyAlignment="1" applyProtection="1">
      <alignment horizontal="center" vertical="center" wrapText="1"/>
      <protection/>
    </xf>
    <xf numFmtId="179" fontId="0" fillId="0" borderId="0" xfId="0" applyNumberFormat="1" applyFont="1" applyAlignment="1" applyProtection="1">
      <alignment horizontal="center" vertical="top"/>
      <protection/>
    </xf>
    <xf numFmtId="179" fontId="0" fillId="0" borderId="0" xfId="0" applyNumberFormat="1" applyAlignment="1" applyProtection="1">
      <alignment horizontal="center"/>
      <protection/>
    </xf>
    <xf numFmtId="181" fontId="0" fillId="0" borderId="0" xfId="99" applyNumberFormat="1" applyFont="1" applyAlignment="1" applyProtection="1">
      <alignment horizontal="left" vertical="center"/>
      <protection/>
    </xf>
    <xf numFmtId="181" fontId="0" fillId="0" borderId="0" xfId="99" applyNumberFormat="1" applyFont="1" applyAlignment="1" applyProtection="1">
      <alignment horizontal="left" vertical="center"/>
      <protection/>
    </xf>
    <xf numFmtId="0" fontId="0" fillId="0" borderId="88" xfId="0" applyBorder="1" applyAlignment="1" applyProtection="1">
      <alignment horizontal="center" vertical="center" wrapText="1"/>
      <protection/>
    </xf>
    <xf numFmtId="0" fontId="0" fillId="0" borderId="52" xfId="0" applyBorder="1" applyAlignment="1" applyProtection="1">
      <alignment horizontal="center" vertical="center"/>
      <protection/>
    </xf>
    <xf numFmtId="0" fontId="3" fillId="0" borderId="74" xfId="0" applyFont="1" applyBorder="1" applyAlignment="1" applyProtection="1">
      <alignment vertical="center"/>
      <protection/>
    </xf>
    <xf numFmtId="0" fontId="0" fillId="0" borderId="31" xfId="0" applyBorder="1" applyAlignment="1" applyProtection="1">
      <alignment vertical="center" wrapText="1"/>
      <protection/>
    </xf>
    <xf numFmtId="0" fontId="3"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6" fillId="0" borderId="0" xfId="0" applyFont="1" applyAlignment="1">
      <alignment horizontal="justify" wrapText="1"/>
    </xf>
    <xf numFmtId="3" fontId="0" fillId="0" borderId="85" xfId="0" applyNumberFormat="1" applyBorder="1" applyAlignment="1" applyProtection="1">
      <alignment horizontal="center" vertical="center"/>
      <protection/>
    </xf>
    <xf numFmtId="0" fontId="24" fillId="0" borderId="0" xfId="0" applyFont="1" applyFill="1" applyBorder="1" applyAlignment="1" applyProtection="1">
      <alignment horizontal="center" vertical="center" wrapText="1"/>
      <protection/>
    </xf>
    <xf numFmtId="0" fontId="24" fillId="0" borderId="85" xfId="0" applyFont="1" applyFill="1" applyBorder="1" applyAlignment="1" applyProtection="1">
      <alignment horizontal="center" vertical="center" wrapText="1"/>
      <protection/>
    </xf>
    <xf numFmtId="10" fontId="24" fillId="0" borderId="85" xfId="0" applyNumberFormat="1" applyFont="1" applyFill="1" applyBorder="1" applyAlignment="1" applyProtection="1">
      <alignment horizontal="center" vertical="center" wrapText="1"/>
      <protection/>
    </xf>
    <xf numFmtId="10" fontId="24" fillId="0" borderId="0" xfId="0" applyNumberFormat="1" applyFont="1" applyFill="1" applyBorder="1" applyAlignment="1" applyProtection="1">
      <alignment horizontal="center" vertical="center" wrapText="1"/>
      <protection/>
    </xf>
    <xf numFmtId="4" fontId="24" fillId="0" borderId="78" xfId="0" applyNumberFormat="1" applyFont="1" applyBorder="1" applyAlignment="1" applyProtection="1">
      <alignment horizontal="center" vertical="center" wrapText="1"/>
      <protection/>
    </xf>
    <xf numFmtId="180" fontId="24" fillId="0" borderId="84" xfId="0" applyNumberFormat="1" applyFont="1" applyBorder="1" applyAlignment="1" applyProtection="1">
      <alignment horizontal="center" vertical="center" wrapText="1"/>
      <protection/>
    </xf>
    <xf numFmtId="180" fontId="24" fillId="0" borderId="73" xfId="0" applyNumberFormat="1" applyFont="1" applyBorder="1" applyAlignment="1" applyProtection="1">
      <alignment horizontal="center" vertical="center"/>
      <protection/>
    </xf>
    <xf numFmtId="180" fontId="24" fillId="0" borderId="90" xfId="0" applyNumberFormat="1" applyFont="1" applyBorder="1" applyAlignment="1" applyProtection="1">
      <alignment horizontal="center" vertical="center"/>
      <protection/>
    </xf>
    <xf numFmtId="3" fontId="0" fillId="0" borderId="0" xfId="0" applyNumberFormat="1" applyBorder="1" applyAlignment="1" applyProtection="1">
      <alignment horizontal="center" vertical="center"/>
      <protection/>
    </xf>
    <xf numFmtId="180" fontId="0" fillId="0" borderId="0" xfId="0" applyNumberFormat="1" applyBorder="1" applyAlignment="1" applyProtection="1">
      <alignment vertical="center"/>
      <protection/>
    </xf>
    <xf numFmtId="192" fontId="0" fillId="0" borderId="0" xfId="0" applyNumberFormat="1" applyBorder="1" applyAlignment="1" applyProtection="1">
      <alignment vertical="center"/>
      <protection/>
    </xf>
    <xf numFmtId="10" fontId="0" fillId="0" borderId="0" xfId="143" applyNumberFormat="1" applyFont="1" applyAlignment="1" applyProtection="1">
      <alignment vertical="center"/>
      <protection/>
    </xf>
    <xf numFmtId="170" fontId="0" fillId="29" borderId="19" xfId="99" applyFont="1" applyFill="1" applyBorder="1" applyAlignment="1" applyProtection="1">
      <alignment vertical="center"/>
      <protection/>
    </xf>
    <xf numFmtId="189" fontId="0" fillId="0" borderId="0" xfId="96" applyNumberFormat="1" applyFont="1" applyAlignment="1" applyProtection="1">
      <alignment vertical="center"/>
      <protection/>
    </xf>
    <xf numFmtId="170" fontId="0" fillId="0" borderId="0" xfId="0" applyNumberFormat="1" applyFont="1" applyAlignment="1" applyProtection="1">
      <alignment vertical="center"/>
      <protection/>
    </xf>
    <xf numFmtId="8" fontId="0" fillId="0" borderId="92" xfId="143" applyNumberFormat="1" applyFont="1" applyBorder="1" applyAlignment="1" applyProtection="1">
      <alignment vertical="center"/>
      <protection/>
    </xf>
    <xf numFmtId="174" fontId="0" fillId="36" borderId="90" xfId="0" applyNumberFormat="1" applyFill="1" applyBorder="1" applyAlignment="1" applyProtection="1">
      <alignment horizontal="center" vertical="center"/>
      <protection/>
    </xf>
    <xf numFmtId="4" fontId="6" fillId="4" borderId="85" xfId="0" applyNumberFormat="1" applyFont="1" applyFill="1" applyBorder="1" applyAlignment="1" applyProtection="1">
      <alignment horizontal="center" vertical="center"/>
      <protection/>
    </xf>
    <xf numFmtId="2" fontId="24" fillId="0" borderId="53" xfId="0" applyNumberFormat="1" applyFont="1" applyBorder="1" applyAlignment="1" applyProtection="1">
      <alignment horizontal="center" vertical="center"/>
      <protection/>
    </xf>
    <xf numFmtId="2" fontId="24" fillId="0" borderId="85" xfId="0" applyNumberFormat="1" applyFont="1" applyBorder="1" applyAlignment="1" applyProtection="1">
      <alignment horizontal="center" vertical="center"/>
      <protection/>
    </xf>
    <xf numFmtId="4" fontId="6" fillId="4" borderId="110" xfId="0" applyNumberFormat="1" applyFont="1" applyFill="1" applyBorder="1" applyAlignment="1" applyProtection="1">
      <alignment horizontal="center" vertical="center"/>
      <protection/>
    </xf>
    <xf numFmtId="4" fontId="6" fillId="4" borderId="27" xfId="0" applyNumberFormat="1" applyFont="1" applyFill="1" applyBorder="1" applyAlignment="1" applyProtection="1">
      <alignment horizontal="center" vertical="center"/>
      <protection/>
    </xf>
    <xf numFmtId="3" fontId="62" fillId="0" borderId="85" xfId="0" applyNumberFormat="1" applyFont="1" applyBorder="1" applyAlignment="1" applyProtection="1">
      <alignment horizontal="center" vertical="center"/>
      <protection/>
    </xf>
    <xf numFmtId="3" fontId="62" fillId="0" borderId="85" xfId="0" applyNumberFormat="1" applyFont="1" applyFill="1" applyBorder="1" applyAlignment="1" applyProtection="1">
      <alignment horizontal="center" vertical="center"/>
      <protection/>
    </xf>
    <xf numFmtId="174" fontId="62" fillId="36" borderId="85" xfId="0" applyNumberFormat="1" applyFont="1" applyFill="1" applyBorder="1" applyAlignment="1" applyProtection="1">
      <alignment horizontal="center" vertical="center"/>
      <protection/>
    </xf>
    <xf numFmtId="171" fontId="0" fillId="0" borderId="0" xfId="96" applyFont="1" applyAlignment="1" applyProtection="1">
      <alignment vertical="center"/>
      <protection/>
    </xf>
    <xf numFmtId="173" fontId="6" fillId="0" borderId="0" xfId="96" applyNumberFormat="1" applyFont="1" applyAlignment="1">
      <alignment wrapText="1"/>
    </xf>
    <xf numFmtId="0" fontId="0" fillId="0" borderId="0" xfId="0" applyAlignment="1">
      <alignment horizontal="center"/>
    </xf>
    <xf numFmtId="171" fontId="0" fillId="0" borderId="0" xfId="96" applyFont="1" applyAlignment="1">
      <alignment/>
    </xf>
    <xf numFmtId="171" fontId="0" fillId="0" borderId="0" xfId="96" applyFont="1" applyBorder="1" applyAlignment="1" applyProtection="1">
      <alignment vertical="center"/>
      <protection/>
    </xf>
    <xf numFmtId="179" fontId="62" fillId="0" borderId="85" xfId="99" applyNumberFormat="1" applyFont="1" applyFill="1" applyBorder="1" applyAlignment="1" applyProtection="1">
      <alignment vertical="center"/>
      <protection/>
    </xf>
    <xf numFmtId="3" fontId="62" fillId="0" borderId="0" xfId="0" applyNumberFormat="1" applyFont="1" applyFill="1" applyBorder="1" applyAlignment="1" applyProtection="1">
      <alignment horizontal="center" vertical="center"/>
      <protection/>
    </xf>
    <xf numFmtId="170" fontId="62" fillId="0" borderId="31" xfId="0" applyNumberFormat="1" applyFont="1" applyFill="1" applyBorder="1" applyAlignment="1" applyProtection="1">
      <alignment horizontal="center" vertical="center"/>
      <protection/>
    </xf>
    <xf numFmtId="170" fontId="62" fillId="0" borderId="85" xfId="0" applyNumberFormat="1" applyFont="1" applyFill="1" applyBorder="1" applyAlignment="1" applyProtection="1">
      <alignment horizontal="center" vertical="center"/>
      <protection/>
    </xf>
    <xf numFmtId="170" fontId="62" fillId="0" borderId="32" xfId="0" applyNumberFormat="1" applyFont="1" applyFill="1" applyBorder="1" applyAlignment="1" applyProtection="1">
      <alignment horizontal="center" vertical="center"/>
      <protection/>
    </xf>
    <xf numFmtId="171" fontId="1" fillId="0" borderId="0" xfId="96" applyFont="1" applyAlignment="1" applyProtection="1">
      <alignment vertical="center"/>
      <protection/>
    </xf>
    <xf numFmtId="0" fontId="24" fillId="0" borderId="11" xfId="0" applyFont="1" applyBorder="1" applyAlignment="1" applyProtection="1">
      <alignment horizontal="center" vertical="center" wrapText="1"/>
      <protection/>
    </xf>
    <xf numFmtId="0" fontId="6" fillId="4" borderId="14" xfId="0" applyFont="1" applyFill="1" applyBorder="1" applyAlignment="1" applyProtection="1">
      <alignment horizontal="center" vertical="center" wrapText="1"/>
      <protection/>
    </xf>
    <xf numFmtId="0" fontId="62" fillId="0" borderId="85" xfId="0" applyFont="1" applyBorder="1" applyAlignment="1" applyProtection="1">
      <alignment horizontal="center" vertical="center"/>
      <protection/>
    </xf>
    <xf numFmtId="0" fontId="62" fillId="0" borderId="90" xfId="0" applyFont="1" applyBorder="1" applyAlignment="1" applyProtection="1">
      <alignment horizontal="center" vertical="center"/>
      <protection/>
    </xf>
    <xf numFmtId="179" fontId="62" fillId="0" borderId="90" xfId="99" applyNumberFormat="1" applyFont="1" applyBorder="1" applyAlignment="1" applyProtection="1">
      <alignment vertical="center"/>
      <protection/>
    </xf>
    <xf numFmtId="0" fontId="1" fillId="0" borderId="89" xfId="0" applyFont="1" applyBorder="1" applyAlignment="1" applyProtection="1">
      <alignment vertical="center"/>
      <protection/>
    </xf>
    <xf numFmtId="3" fontId="1" fillId="0" borderId="86" xfId="0" applyNumberFormat="1" applyFont="1" applyBorder="1" applyAlignment="1" applyProtection="1">
      <alignment horizontal="center" vertical="center"/>
      <protection/>
    </xf>
    <xf numFmtId="179" fontId="1" fillId="0" borderId="85" xfId="99" applyNumberFormat="1" applyFont="1" applyFill="1" applyBorder="1" applyAlignment="1" applyProtection="1">
      <alignment vertical="center"/>
      <protection/>
    </xf>
    <xf numFmtId="3" fontId="1" fillId="0" borderId="99" xfId="0" applyNumberFormat="1" applyFont="1" applyBorder="1" applyAlignment="1" applyProtection="1">
      <alignment horizontal="center" vertical="center"/>
      <protection/>
    </xf>
    <xf numFmtId="3" fontId="1" fillId="0" borderId="90" xfId="0" applyNumberFormat="1" applyFont="1" applyBorder="1" applyAlignment="1" applyProtection="1">
      <alignment horizontal="center" vertical="center"/>
      <protection/>
    </xf>
    <xf numFmtId="0" fontId="1" fillId="0" borderId="0" xfId="0" applyFont="1" applyAlignment="1" applyProtection="1">
      <alignment horizontal="center" vertical="center"/>
      <protection/>
    </xf>
    <xf numFmtId="166" fontId="1" fillId="0" borderId="70" xfId="0" applyNumberFormat="1" applyFont="1" applyBorder="1" applyAlignment="1" applyProtection="1">
      <alignment horizontal="center" vertical="center"/>
      <protection/>
    </xf>
    <xf numFmtId="166" fontId="1" fillId="0" borderId="90" xfId="0" applyNumberFormat="1" applyFont="1" applyBorder="1" applyAlignment="1" applyProtection="1">
      <alignment horizontal="center" vertical="center"/>
      <protection/>
    </xf>
    <xf numFmtId="173" fontId="62" fillId="0" borderId="11" xfId="96" applyNumberFormat="1" applyFont="1" applyFill="1" applyBorder="1" applyAlignment="1" applyProtection="1">
      <alignment horizontal="center" vertical="center"/>
      <protection/>
    </xf>
    <xf numFmtId="0" fontId="63" fillId="0" borderId="31" xfId="0" applyFont="1" applyFill="1" applyBorder="1" applyAlignment="1" applyProtection="1">
      <alignment horizontal="center" vertical="center"/>
      <protection/>
    </xf>
    <xf numFmtId="0" fontId="63" fillId="0" borderId="37" xfId="0" applyFont="1" applyFill="1" applyBorder="1" applyAlignment="1" applyProtection="1">
      <alignment horizontal="center" vertical="center"/>
      <protection/>
    </xf>
    <xf numFmtId="0" fontId="63" fillId="0" borderId="47" xfId="0" applyFont="1" applyFill="1" applyBorder="1" applyAlignment="1" applyProtection="1">
      <alignment horizontal="center" vertical="center"/>
      <protection/>
    </xf>
    <xf numFmtId="0" fontId="63" fillId="0" borderId="11" xfId="0" applyFont="1" applyFill="1" applyBorder="1" applyAlignment="1" applyProtection="1">
      <alignment horizontal="center" vertical="center"/>
      <protection/>
    </xf>
    <xf numFmtId="9" fontId="63" fillId="0" borderId="0" xfId="0" applyNumberFormat="1" applyFont="1" applyFill="1" applyBorder="1" applyAlignment="1" applyProtection="1">
      <alignment horizontal="center" vertical="center"/>
      <protection/>
    </xf>
    <xf numFmtId="173" fontId="1" fillId="25" borderId="76" xfId="0" applyNumberFormat="1" applyFont="1" applyFill="1" applyBorder="1" applyAlignment="1" applyProtection="1">
      <alignment vertical="center"/>
      <protection/>
    </xf>
    <xf numFmtId="4" fontId="64" fillId="0" borderId="51" xfId="0" applyNumberFormat="1" applyFont="1" applyFill="1" applyBorder="1" applyAlignment="1" applyProtection="1">
      <alignment horizontal="center" vertical="center"/>
      <protection/>
    </xf>
    <xf numFmtId="4" fontId="64" fillId="0" borderId="54" xfId="0" applyNumberFormat="1" applyFont="1" applyFill="1" applyBorder="1" applyAlignment="1" applyProtection="1">
      <alignment horizontal="center" vertical="center"/>
      <protection/>
    </xf>
    <xf numFmtId="4" fontId="64" fillId="0" borderId="67" xfId="0" applyNumberFormat="1" applyFont="1" applyFill="1" applyBorder="1" applyAlignment="1" applyProtection="1">
      <alignment horizontal="center" vertical="center"/>
      <protection/>
    </xf>
    <xf numFmtId="0" fontId="64" fillId="0" borderId="0" xfId="0" applyFont="1" applyFill="1" applyBorder="1" applyAlignment="1" applyProtection="1">
      <alignment vertical="center"/>
      <protection/>
    </xf>
    <xf numFmtId="0" fontId="64" fillId="0" borderId="0" xfId="0" applyFont="1" applyFill="1" applyBorder="1" applyAlignment="1" applyProtection="1" quotePrefix="1">
      <alignment vertical="center"/>
      <protection/>
    </xf>
    <xf numFmtId="2" fontId="64" fillId="0" borderId="12" xfId="0" applyNumberFormat="1" applyFont="1" applyFill="1" applyBorder="1" applyAlignment="1" applyProtection="1">
      <alignment horizontal="center" vertical="center"/>
      <protection/>
    </xf>
    <xf numFmtId="0" fontId="48" fillId="0" borderId="0" xfId="0" applyFont="1" applyFill="1" applyBorder="1" applyAlignment="1" applyProtection="1">
      <alignment vertical="center"/>
      <protection/>
    </xf>
    <xf numFmtId="4" fontId="24" fillId="0" borderId="51" xfId="0" applyNumberFormat="1" applyFont="1" applyFill="1" applyBorder="1" applyAlignment="1" applyProtection="1">
      <alignment horizontal="left" vertical="center"/>
      <protection/>
    </xf>
    <xf numFmtId="4" fontId="24" fillId="0" borderId="54" xfId="0" applyNumberFormat="1" applyFont="1" applyFill="1" applyBorder="1" applyAlignment="1" applyProtection="1">
      <alignment horizontal="left" vertical="center"/>
      <protection/>
    </xf>
    <xf numFmtId="4" fontId="24" fillId="0" borderId="67" xfId="0" applyNumberFormat="1"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12" xfId="0" applyFont="1" applyFill="1" applyBorder="1" applyAlignment="1" applyProtection="1">
      <alignment horizontal="left" vertical="center"/>
      <protection/>
    </xf>
    <xf numFmtId="0" fontId="1" fillId="0" borderId="78"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179" fontId="1" fillId="0" borderId="53" xfId="99" applyNumberFormat="1" applyFont="1" applyFill="1" applyBorder="1" applyAlignment="1" applyProtection="1">
      <alignment vertical="center"/>
      <protection/>
    </xf>
    <xf numFmtId="179" fontId="1" fillId="0" borderId="55" xfId="99" applyNumberFormat="1" applyFont="1" applyFill="1" applyBorder="1" applyAlignment="1" applyProtection="1">
      <alignment vertical="center"/>
      <protection/>
    </xf>
    <xf numFmtId="170" fontId="1" fillId="0" borderId="48" xfId="99" applyNumberFormat="1" applyFont="1" applyFill="1" applyBorder="1" applyAlignment="1" applyProtection="1">
      <alignment vertical="center"/>
      <protection/>
    </xf>
    <xf numFmtId="179" fontId="1" fillId="0" borderId="60" xfId="99" applyNumberFormat="1" applyFont="1" applyFill="1" applyBorder="1" applyAlignment="1" applyProtection="1">
      <alignment vertical="center"/>
      <protection/>
    </xf>
    <xf numFmtId="179" fontId="3" fillId="0" borderId="55" xfId="99" applyNumberFormat="1" applyFont="1" applyFill="1" applyBorder="1" applyAlignment="1" applyProtection="1">
      <alignment horizontal="right" vertical="center"/>
      <protection/>
    </xf>
    <xf numFmtId="0" fontId="1" fillId="0" borderId="73" xfId="0" applyFont="1" applyFill="1" applyBorder="1" applyAlignment="1" applyProtection="1">
      <alignment vertical="center"/>
      <protection/>
    </xf>
    <xf numFmtId="181" fontId="0" fillId="0" borderId="0" xfId="0" applyNumberFormat="1" applyFont="1" applyAlignment="1" applyProtection="1">
      <alignment vertical="center"/>
      <protection/>
    </xf>
    <xf numFmtId="181" fontId="0" fillId="0" borderId="0" xfId="0" applyNumberFormat="1" applyFont="1" applyFill="1" applyBorder="1" applyAlignment="1" applyProtection="1">
      <alignment vertical="center"/>
      <protection/>
    </xf>
    <xf numFmtId="10" fontId="0" fillId="0" borderId="0" xfId="143" applyNumberFormat="1" applyFont="1" applyFill="1" applyBorder="1" applyAlignment="1" applyProtection="1">
      <alignment horizontal="center" vertical="center"/>
      <protection/>
    </xf>
    <xf numFmtId="179" fontId="0" fillId="0" borderId="125" xfId="99" applyNumberFormat="1" applyFont="1" applyFill="1" applyBorder="1" applyAlignment="1" applyProtection="1">
      <alignment vertical="center"/>
      <protection/>
    </xf>
    <xf numFmtId="170" fontId="0" fillId="0" borderId="48" xfId="99" applyNumberFormat="1" applyFont="1" applyFill="1" applyBorder="1" applyAlignment="1" applyProtection="1">
      <alignment vertical="center"/>
      <protection/>
    </xf>
    <xf numFmtId="170" fontId="0" fillId="0" borderId="53" xfId="99" applyNumberFormat="1" applyFont="1" applyFill="1" applyBorder="1" applyAlignment="1" applyProtection="1">
      <alignment vertical="center"/>
      <protection/>
    </xf>
    <xf numFmtId="170" fontId="0" fillId="0" borderId="69" xfId="99" applyNumberFormat="1" applyFont="1" applyFill="1" applyBorder="1" applyAlignment="1" applyProtection="1">
      <alignment vertical="center"/>
      <protection/>
    </xf>
    <xf numFmtId="170" fontId="0" fillId="0" borderId="55" xfId="99" applyNumberFormat="1" applyFont="1" applyFill="1" applyBorder="1" applyAlignment="1" applyProtection="1">
      <alignment vertical="center"/>
      <protection/>
    </xf>
    <xf numFmtId="171" fontId="1" fillId="0" borderId="0" xfId="96" applyFont="1" applyFill="1" applyAlignment="1" applyProtection="1">
      <alignment vertical="center"/>
      <protection/>
    </xf>
    <xf numFmtId="4" fontId="24" fillId="0" borderId="0" xfId="0" applyNumberFormat="1" applyFont="1" applyFill="1" applyBorder="1" applyAlignment="1" applyProtection="1">
      <alignment horizontal="right" vertical="center" wrapText="1"/>
      <protection/>
    </xf>
    <xf numFmtId="0" fontId="65" fillId="0" borderId="53" xfId="0" applyFont="1" applyFill="1" applyBorder="1" applyAlignment="1" applyProtection="1">
      <alignment vertical="center"/>
      <protection/>
    </xf>
    <xf numFmtId="0" fontId="66" fillId="0" borderId="70" xfId="0" applyFont="1" applyFill="1" applyBorder="1" applyAlignment="1" applyProtection="1">
      <alignment vertical="center"/>
      <protection/>
    </xf>
    <xf numFmtId="0" fontId="66" fillId="0" borderId="53" xfId="0" applyFont="1" applyFill="1" applyBorder="1" applyAlignment="1" applyProtection="1">
      <alignment horizontal="right" vertical="center"/>
      <protection/>
    </xf>
    <xf numFmtId="0" fontId="66" fillId="0" borderId="70" xfId="0" applyFont="1" applyFill="1" applyBorder="1" applyAlignment="1" applyProtection="1">
      <alignment horizontal="right" vertical="center"/>
      <protection/>
    </xf>
    <xf numFmtId="0" fontId="55" fillId="0" borderId="0" xfId="0" applyFont="1" applyFill="1" applyBorder="1" applyAlignment="1" applyProtection="1">
      <alignment vertical="center"/>
      <protection/>
    </xf>
    <xf numFmtId="0" fontId="56" fillId="0" borderId="0" xfId="0" applyFont="1" applyBorder="1" applyAlignment="1" applyProtection="1">
      <alignment vertical="center"/>
      <protection/>
    </xf>
    <xf numFmtId="0" fontId="55" fillId="0"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left" vertical="center"/>
      <protection/>
    </xf>
    <xf numFmtId="0" fontId="55" fillId="0" borderId="12" xfId="0" applyFont="1" applyFill="1" applyBorder="1" applyAlignment="1" applyProtection="1">
      <alignment vertical="center"/>
      <protection/>
    </xf>
    <xf numFmtId="183" fontId="55" fillId="0" borderId="12" xfId="101" applyNumberFormat="1" applyFont="1" applyFill="1" applyBorder="1" applyAlignment="1" applyProtection="1">
      <alignment horizontal="center" vertical="center"/>
      <protection/>
    </xf>
    <xf numFmtId="0" fontId="57" fillId="0" borderId="12" xfId="0" applyFont="1" applyFill="1" applyBorder="1" applyAlignment="1" applyProtection="1">
      <alignment horizontal="center" vertical="center" wrapText="1"/>
      <protection/>
    </xf>
    <xf numFmtId="0" fontId="58" fillId="0" borderId="99" xfId="0" applyFont="1" applyFill="1" applyBorder="1" applyAlignment="1" applyProtection="1">
      <alignment vertical="center"/>
      <protection/>
    </xf>
    <xf numFmtId="0" fontId="59" fillId="0" borderId="99" xfId="0" applyFont="1" applyFill="1" applyBorder="1" applyAlignment="1" applyProtection="1">
      <alignment vertical="center"/>
      <protection/>
    </xf>
    <xf numFmtId="171" fontId="0" fillId="0" borderId="0" xfId="96" applyFont="1" applyAlignment="1" applyProtection="1">
      <alignment horizontal="left" vertical="center"/>
      <protection/>
    </xf>
    <xf numFmtId="0" fontId="0" fillId="0" borderId="78" xfId="0" applyBorder="1" applyAlignment="1" applyProtection="1">
      <alignment vertical="center"/>
      <protection/>
    </xf>
    <xf numFmtId="179" fontId="0" fillId="0" borderId="84" xfId="0" applyNumberFormat="1" applyBorder="1" applyAlignment="1" applyProtection="1">
      <alignment vertical="center"/>
      <protection/>
    </xf>
    <xf numFmtId="0" fontId="0" fillId="0" borderId="73" xfId="0" applyBorder="1" applyAlignment="1" applyProtection="1">
      <alignment vertical="center"/>
      <protection/>
    </xf>
    <xf numFmtId="179" fontId="0" fillId="0" borderId="90" xfId="0" applyNumberFormat="1" applyBorder="1" applyAlignment="1" applyProtection="1">
      <alignment vertical="center"/>
      <protection/>
    </xf>
    <xf numFmtId="0" fontId="0" fillId="0" borderId="53" xfId="0" applyBorder="1" applyAlignment="1" applyProtection="1">
      <alignment vertical="center"/>
      <protection/>
    </xf>
    <xf numFmtId="0" fontId="0" fillId="0" borderId="85" xfId="0" applyBorder="1" applyAlignment="1" applyProtection="1">
      <alignment vertical="center"/>
      <protection/>
    </xf>
    <xf numFmtId="0" fontId="0" fillId="0" borderId="0" xfId="0" applyFont="1" applyAlignment="1" applyProtection="1">
      <alignment horizontal="right" vertical="center"/>
      <protection/>
    </xf>
    <xf numFmtId="0" fontId="3" fillId="0" borderId="78" xfId="0" applyFont="1" applyBorder="1" applyAlignment="1" applyProtection="1">
      <alignment horizontal="center" vertical="center" wrapText="1"/>
      <protection/>
    </xf>
    <xf numFmtId="0" fontId="3" fillId="0" borderId="84" xfId="0" applyFont="1" applyBorder="1" applyAlignment="1" applyProtection="1">
      <alignment horizontal="center" vertical="center" wrapText="1"/>
      <protection/>
    </xf>
    <xf numFmtId="0" fontId="3" fillId="0" borderId="0" xfId="0" applyFont="1" applyBorder="1" applyAlignment="1">
      <alignment horizontal="justify" wrapText="1"/>
    </xf>
    <xf numFmtId="0" fontId="3" fillId="0" borderId="41" xfId="0" applyFont="1" applyBorder="1" applyAlignment="1" applyProtection="1">
      <alignment horizontal="center" vertical="center" wrapText="1"/>
      <protection/>
    </xf>
    <xf numFmtId="0" fontId="3" fillId="0" borderId="10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1" fillId="0" borderId="82" xfId="96" applyNumberFormat="1" applyFont="1" applyBorder="1" applyAlignment="1" applyProtection="1">
      <alignment horizontal="center" vertical="center"/>
      <protection/>
    </xf>
    <xf numFmtId="0" fontId="1" fillId="0" borderId="41" xfId="96" applyNumberFormat="1" applyFont="1" applyBorder="1" applyAlignment="1" applyProtection="1">
      <alignment horizontal="center" vertical="center"/>
      <protection/>
    </xf>
    <xf numFmtId="0" fontId="1" fillId="0" borderId="108" xfId="96" applyNumberFormat="1" applyFont="1" applyBorder="1" applyAlignment="1" applyProtection="1">
      <alignment horizontal="center" vertical="center"/>
      <protection/>
    </xf>
    <xf numFmtId="0" fontId="0" fillId="0" borderId="0" xfId="0" applyFill="1" applyBorder="1" applyAlignment="1" applyProtection="1">
      <alignment horizontal="left" vertical="top" wrapText="1"/>
      <protection/>
    </xf>
    <xf numFmtId="0" fontId="0" fillId="0" borderId="12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12" xfId="0" applyBorder="1" applyAlignment="1" applyProtection="1">
      <alignment horizontal="center" vertical="center"/>
      <protection/>
    </xf>
    <xf numFmtId="0" fontId="25" fillId="0" borderId="99" xfId="0" applyFont="1" applyBorder="1" applyAlignment="1">
      <alignment horizontal="justify" wrapText="1"/>
    </xf>
    <xf numFmtId="0" fontId="25" fillId="0" borderId="0" xfId="0" applyFont="1" applyAlignment="1">
      <alignment horizontal="left" wrapText="1"/>
    </xf>
    <xf numFmtId="208" fontId="3" fillId="0" borderId="89" xfId="0" applyNumberFormat="1" applyFont="1" applyBorder="1" applyAlignment="1" applyProtection="1">
      <alignment horizontal="center" vertical="center"/>
      <protection/>
    </xf>
    <xf numFmtId="208" fontId="3" fillId="0" borderId="36" xfId="0" applyNumberFormat="1" applyFont="1" applyBorder="1" applyAlignment="1" applyProtection="1">
      <alignment horizontal="center" vertical="center"/>
      <protection/>
    </xf>
    <xf numFmtId="208" fontId="3" fillId="0" borderId="90" xfId="0" applyNumberFormat="1"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105" xfId="0" applyFont="1" applyBorder="1" applyAlignment="1" applyProtection="1">
      <alignment horizontal="center" vertical="center"/>
      <protection/>
    </xf>
    <xf numFmtId="170" fontId="3" fillId="0" borderId="36" xfId="99" applyFont="1" applyBorder="1" applyAlignment="1" applyProtection="1">
      <alignment horizontal="center" vertical="center"/>
      <protection/>
    </xf>
    <xf numFmtId="170" fontId="3" fillId="0" borderId="105" xfId="99" applyFont="1" applyBorder="1" applyAlignment="1" applyProtection="1">
      <alignment horizontal="center" vertical="center"/>
      <protection/>
    </xf>
    <xf numFmtId="0" fontId="25" fillId="0" borderId="0" xfId="0" applyFont="1" applyAlignment="1">
      <alignment horizontal="justify" wrapText="1"/>
    </xf>
    <xf numFmtId="173" fontId="0" fillId="26" borderId="74" xfId="96" applyNumberFormat="1" applyFont="1" applyFill="1" applyBorder="1" applyAlignment="1" applyProtection="1">
      <alignment horizontal="center" vertical="center" wrapText="1"/>
      <protection/>
    </xf>
    <xf numFmtId="173" fontId="0" fillId="26" borderId="32" xfId="96" applyNumberFormat="1" applyFont="1" applyFill="1" applyBorder="1" applyAlignment="1" applyProtection="1">
      <alignment horizontal="center" vertical="center" wrapText="1"/>
      <protection/>
    </xf>
    <xf numFmtId="176" fontId="0" fillId="26" borderId="79" xfId="0" applyNumberFormat="1" applyFill="1" applyBorder="1" applyAlignment="1" applyProtection="1">
      <alignment horizontal="center" vertical="center" wrapText="1"/>
      <protection/>
    </xf>
    <xf numFmtId="176" fontId="0" fillId="26" borderId="33" xfId="0" applyNumberFormat="1" applyFill="1" applyBorder="1" applyAlignment="1" applyProtection="1">
      <alignment horizontal="center" vertical="center" wrapText="1"/>
      <protection/>
    </xf>
    <xf numFmtId="176" fontId="10" fillId="26" borderId="80" xfId="0" applyNumberFormat="1" applyFont="1" applyFill="1" applyBorder="1" applyAlignment="1" applyProtection="1">
      <alignment horizontal="center" vertical="center" wrapText="1"/>
      <protection/>
    </xf>
    <xf numFmtId="176" fontId="10" fillId="26" borderId="51" xfId="0" applyNumberFormat="1" applyFont="1" applyFill="1" applyBorder="1" applyAlignment="1" applyProtection="1">
      <alignment horizontal="center" vertical="center" wrapText="1"/>
      <protection/>
    </xf>
    <xf numFmtId="0" fontId="0" fillId="35" borderId="74" xfId="0" applyFill="1" applyBorder="1" applyAlignment="1" applyProtection="1">
      <alignment horizontal="center" vertical="center" wrapText="1"/>
      <protection/>
    </xf>
    <xf numFmtId="0" fontId="0" fillId="35" borderId="32" xfId="0" applyFill="1" applyBorder="1" applyAlignment="1" applyProtection="1">
      <alignment horizontal="center" vertical="center" wrapText="1"/>
      <protection/>
    </xf>
    <xf numFmtId="173" fontId="0" fillId="26" borderId="91" xfId="96" applyNumberFormat="1" applyFont="1" applyFill="1" applyBorder="1" applyAlignment="1" applyProtection="1">
      <alignment horizontal="center" vertical="center" wrapText="1"/>
      <protection/>
    </xf>
    <xf numFmtId="173" fontId="0" fillId="26" borderId="35" xfId="96" applyNumberFormat="1" applyFont="1" applyFill="1" applyBorder="1" applyAlignment="1" applyProtection="1">
      <alignment horizontal="center" vertical="center" wrapText="1"/>
      <protection/>
    </xf>
    <xf numFmtId="0" fontId="3" fillId="26" borderId="89" xfId="0" applyFont="1" applyFill="1" applyBorder="1" applyAlignment="1" applyProtection="1">
      <alignment horizontal="center" vertical="center"/>
      <protection/>
    </xf>
    <xf numFmtId="0" fontId="3" fillId="26" borderId="36" xfId="0" applyFont="1" applyFill="1" applyBorder="1" applyAlignment="1" applyProtection="1">
      <alignment horizontal="center" vertical="center"/>
      <protection/>
    </xf>
    <xf numFmtId="0" fontId="3" fillId="26" borderId="105" xfId="0" applyFont="1" applyFill="1" applyBorder="1" applyAlignment="1" applyProtection="1">
      <alignment horizontal="center" vertical="center"/>
      <protection/>
    </xf>
    <xf numFmtId="0" fontId="3" fillId="27" borderId="89" xfId="0" applyFont="1" applyFill="1" applyBorder="1" applyAlignment="1" applyProtection="1">
      <alignment horizontal="center" vertical="center"/>
      <protection/>
    </xf>
    <xf numFmtId="0" fontId="3" fillId="27" borderId="36" xfId="0" applyFont="1" applyFill="1" applyBorder="1" applyAlignment="1" applyProtection="1">
      <alignment horizontal="center" vertical="center"/>
      <protection/>
    </xf>
    <xf numFmtId="0" fontId="3" fillId="27" borderId="105" xfId="0" applyFont="1" applyFill="1" applyBorder="1" applyAlignment="1" applyProtection="1">
      <alignment horizontal="center" vertical="center"/>
      <protection/>
    </xf>
    <xf numFmtId="0" fontId="1" fillId="29" borderId="78" xfId="0" applyFont="1" applyFill="1" applyBorder="1" applyAlignment="1" applyProtection="1">
      <alignment horizontal="center" vertical="center" wrapText="1"/>
      <protection/>
    </xf>
    <xf numFmtId="0" fontId="1" fillId="29" borderId="83" xfId="0" applyFont="1" applyFill="1" applyBorder="1" applyAlignment="1" applyProtection="1">
      <alignment horizontal="center" vertical="center" wrapText="1"/>
      <protection/>
    </xf>
    <xf numFmtId="0" fontId="1" fillId="29" borderId="127" xfId="0" applyFont="1" applyFill="1" applyBorder="1" applyAlignment="1" applyProtection="1">
      <alignment horizontal="center" vertical="center" wrapText="1"/>
      <protection/>
    </xf>
    <xf numFmtId="0" fontId="1" fillId="28" borderId="80" xfId="0" applyFont="1" applyFill="1" applyBorder="1" applyAlignment="1" applyProtection="1">
      <alignment horizontal="center" vertical="center" wrapText="1"/>
      <protection/>
    </xf>
    <xf numFmtId="0" fontId="1" fillId="28" borderId="51" xfId="0" applyFont="1" applyFill="1" applyBorder="1" applyAlignment="1" applyProtection="1">
      <alignment horizontal="center" vertical="center" wrapText="1"/>
      <protection/>
    </xf>
    <xf numFmtId="0" fontId="3" fillId="35" borderId="89"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35" borderId="105" xfId="0" applyFont="1" applyFill="1" applyBorder="1" applyAlignment="1" applyProtection="1">
      <alignment horizontal="center" vertical="center"/>
      <protection/>
    </xf>
    <xf numFmtId="0" fontId="1" fillId="33" borderId="79" xfId="0" applyFont="1" applyFill="1" applyBorder="1" applyAlignment="1" applyProtection="1">
      <alignment horizontal="center" vertical="center" wrapText="1"/>
      <protection/>
    </xf>
    <xf numFmtId="0" fontId="1" fillId="33" borderId="33" xfId="0" applyFont="1" applyFill="1" applyBorder="1" applyAlignment="1" applyProtection="1">
      <alignment horizontal="center" vertical="center" wrapText="1"/>
      <protection/>
    </xf>
    <xf numFmtId="0" fontId="10" fillId="0" borderId="80" xfId="0" applyFont="1" applyFill="1" applyBorder="1" applyAlignment="1" applyProtection="1">
      <alignment horizontal="center" vertical="center" wrapText="1"/>
      <protection/>
    </xf>
    <xf numFmtId="0" fontId="10" fillId="0" borderId="51" xfId="0" applyFont="1" applyFill="1" applyBorder="1" applyAlignment="1" applyProtection="1">
      <alignment horizontal="center" vertical="center" wrapText="1"/>
      <protection/>
    </xf>
    <xf numFmtId="0" fontId="1" fillId="31" borderId="79" xfId="0" applyFont="1" applyFill="1" applyBorder="1" applyAlignment="1" applyProtection="1">
      <alignment horizontal="center" vertical="center" wrapText="1"/>
      <protection/>
    </xf>
    <xf numFmtId="0" fontId="1" fillId="31" borderId="76" xfId="0" applyFont="1" applyFill="1" applyBorder="1" applyAlignment="1" applyProtection="1">
      <alignment horizontal="center" vertical="center" wrapText="1"/>
      <protection/>
    </xf>
    <xf numFmtId="0" fontId="0" fillId="27" borderId="74" xfId="0" applyFill="1" applyBorder="1" applyAlignment="1" applyProtection="1">
      <alignment horizontal="center" vertical="center" wrapText="1"/>
      <protection/>
    </xf>
    <xf numFmtId="0" fontId="0" fillId="27" borderId="32" xfId="0" applyFill="1" applyBorder="1" applyAlignment="1" applyProtection="1">
      <alignment horizontal="center" vertical="center" wrapText="1"/>
      <protection/>
    </xf>
    <xf numFmtId="176" fontId="10" fillId="35" borderId="80" xfId="0" applyNumberFormat="1" applyFont="1" applyFill="1" applyBorder="1" applyAlignment="1" applyProtection="1">
      <alignment horizontal="center" vertical="center" wrapText="1"/>
      <protection/>
    </xf>
    <xf numFmtId="176" fontId="10" fillId="35" borderId="51" xfId="0" applyNumberFormat="1" applyFont="1" applyFill="1" applyBorder="1" applyAlignment="1" applyProtection="1">
      <alignment horizontal="center" vertical="center" wrapText="1"/>
      <protection/>
    </xf>
    <xf numFmtId="173" fontId="0" fillId="27" borderId="91" xfId="96" applyNumberFormat="1" applyFont="1" applyFill="1" applyBorder="1" applyAlignment="1" applyProtection="1">
      <alignment horizontal="center" vertical="center" wrapText="1"/>
      <protection/>
    </xf>
    <xf numFmtId="173" fontId="0" fillId="27" borderId="35" xfId="96" applyNumberFormat="1" applyFont="1" applyFill="1" applyBorder="1" applyAlignment="1" applyProtection="1">
      <alignment horizontal="center" vertical="center" wrapText="1"/>
      <protection/>
    </xf>
    <xf numFmtId="0" fontId="0" fillId="35" borderId="91" xfId="0" applyFill="1" applyBorder="1" applyAlignment="1" applyProtection="1">
      <alignment horizontal="center" vertical="center" wrapText="1"/>
      <protection/>
    </xf>
    <xf numFmtId="0" fontId="0" fillId="35" borderId="35" xfId="0" applyFill="1" applyBorder="1" applyAlignment="1" applyProtection="1">
      <alignment horizontal="center" vertical="center" wrapText="1"/>
      <protection/>
    </xf>
    <xf numFmtId="176" fontId="10" fillId="27" borderId="80" xfId="0" applyNumberFormat="1" applyFont="1" applyFill="1" applyBorder="1" applyAlignment="1" applyProtection="1">
      <alignment horizontal="center" vertical="center" wrapText="1"/>
      <protection/>
    </xf>
    <xf numFmtId="176" fontId="10" fillId="27" borderId="51" xfId="0" applyNumberFormat="1" applyFont="1" applyFill="1" applyBorder="1" applyAlignment="1" applyProtection="1">
      <alignment horizontal="center" vertical="center" wrapText="1"/>
      <protection/>
    </xf>
    <xf numFmtId="0" fontId="1" fillId="34" borderId="80"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0" fontId="1" fillId="31" borderId="91" xfId="0" applyFont="1" applyFill="1" applyBorder="1" applyAlignment="1" applyProtection="1">
      <alignment horizontal="center" vertical="center" wrapText="1"/>
      <protection/>
    </xf>
    <xf numFmtId="0" fontId="1" fillId="31" borderId="50" xfId="0" applyFont="1" applyFill="1" applyBorder="1" applyAlignment="1" applyProtection="1">
      <alignment horizontal="center" vertical="center" wrapText="1"/>
      <protection/>
    </xf>
    <xf numFmtId="0" fontId="1" fillId="32" borderId="80" xfId="0" applyFont="1" applyFill="1" applyBorder="1" applyAlignment="1" applyProtection="1">
      <alignment horizontal="center" vertical="center" wrapText="1"/>
      <protection/>
    </xf>
    <xf numFmtId="0" fontId="1" fillId="32" borderId="51" xfId="0" applyFont="1" applyFill="1" applyBorder="1" applyAlignment="1" applyProtection="1">
      <alignment horizontal="center" vertical="center" wrapText="1"/>
      <protection/>
    </xf>
    <xf numFmtId="0" fontId="7" fillId="0" borderId="99" xfId="0" applyFont="1" applyBorder="1" applyAlignment="1" applyProtection="1">
      <alignment horizontal="center" vertical="center"/>
      <protection/>
    </xf>
    <xf numFmtId="2" fontId="1" fillId="0" borderId="69" xfId="0" applyNumberFormat="1" applyFont="1" applyBorder="1" applyAlignment="1" applyProtection="1">
      <alignment horizontal="center" vertical="center" wrapText="1"/>
      <protection/>
    </xf>
    <xf numFmtId="2" fontId="1" fillId="0" borderId="108" xfId="0" applyNumberFormat="1" applyFont="1" applyBorder="1" applyAlignment="1" applyProtection="1">
      <alignment horizontal="center" vertical="center" wrapText="1"/>
      <protection/>
    </xf>
    <xf numFmtId="0" fontId="49" fillId="0" borderId="78" xfId="0" applyFont="1" applyBorder="1" applyAlignment="1" applyProtection="1">
      <alignment horizontal="center" vertical="center" wrapText="1"/>
      <protection/>
    </xf>
    <xf numFmtId="0" fontId="49" fillId="0" borderId="53" xfId="0" applyFont="1" applyBorder="1" applyAlignment="1" applyProtection="1">
      <alignment horizontal="center" vertical="center" wrapText="1"/>
      <protection/>
    </xf>
    <xf numFmtId="0" fontId="49" fillId="0" borderId="73" xfId="0" applyFont="1" applyBorder="1" applyAlignment="1" applyProtection="1">
      <alignment horizontal="center" vertical="center" wrapText="1"/>
      <protection/>
    </xf>
    <xf numFmtId="9" fontId="67" fillId="0" borderId="84" xfId="143" applyFont="1" applyBorder="1" applyAlignment="1" applyProtection="1">
      <alignment horizontal="center" vertical="center"/>
      <protection/>
    </xf>
    <xf numFmtId="9" fontId="67" fillId="0" borderId="85" xfId="143" applyFont="1" applyBorder="1" applyAlignment="1" applyProtection="1">
      <alignment horizontal="center" vertical="center"/>
      <protection/>
    </xf>
    <xf numFmtId="9" fontId="67" fillId="0" borderId="90" xfId="143" applyFont="1" applyBorder="1" applyAlignment="1" applyProtection="1">
      <alignment horizontal="center" vertical="center"/>
      <protection/>
    </xf>
    <xf numFmtId="10" fontId="24" fillId="22" borderId="87" xfId="0" applyNumberFormat="1" applyFont="1" applyFill="1" applyBorder="1" applyAlignment="1" applyProtection="1">
      <alignment horizontal="center" vertical="center" wrapText="1"/>
      <protection/>
    </xf>
    <xf numFmtId="10" fontId="24" fillId="22" borderId="128" xfId="0" applyNumberFormat="1" applyFont="1" applyFill="1" applyBorder="1" applyAlignment="1" applyProtection="1">
      <alignment horizontal="center" vertical="center" wrapText="1"/>
      <protection/>
    </xf>
    <xf numFmtId="0" fontId="3" fillId="0" borderId="78" xfId="0" applyFont="1" applyFill="1" applyBorder="1" applyAlignment="1" applyProtection="1">
      <alignment horizontal="center" vertical="center" wrapText="1"/>
      <protection/>
    </xf>
    <xf numFmtId="0" fontId="3" fillId="0" borderId="84" xfId="0" applyFont="1" applyFill="1" applyBorder="1" applyAlignment="1" applyProtection="1">
      <alignment horizontal="center" vertical="center" wrapText="1"/>
      <protection/>
    </xf>
    <xf numFmtId="10" fontId="24" fillId="22" borderId="51" xfId="0" applyNumberFormat="1" applyFont="1" applyFill="1" applyBorder="1" applyAlignment="1" applyProtection="1">
      <alignment horizontal="center" vertical="center" wrapText="1"/>
      <protection/>
    </xf>
    <xf numFmtId="0" fontId="65" fillId="0" borderId="51" xfId="0" applyFont="1" applyFill="1" applyBorder="1" applyAlignment="1" applyProtection="1">
      <alignment horizontal="left" vertical="center"/>
      <protection/>
    </xf>
    <xf numFmtId="0" fontId="3" fillId="0" borderId="80" xfId="0" applyFont="1" applyFill="1" applyBorder="1" applyAlignment="1" applyProtection="1">
      <alignment horizontal="left" vertical="center" wrapText="1"/>
      <protection/>
    </xf>
    <xf numFmtId="0" fontId="3" fillId="0" borderId="128" xfId="0" applyFont="1" applyFill="1" applyBorder="1" applyAlignment="1" applyProtection="1">
      <alignment horizontal="left" vertical="center" wrapText="1"/>
      <protection/>
    </xf>
    <xf numFmtId="0" fontId="66" fillId="0" borderId="80" xfId="0" applyFont="1" applyFill="1" applyBorder="1" applyAlignment="1" applyProtection="1">
      <alignment horizontal="left" vertical="center" wrapText="1"/>
      <protection/>
    </xf>
    <xf numFmtId="0" fontId="66" fillId="0" borderId="128" xfId="0" applyFont="1" applyFill="1" applyBorder="1" applyAlignment="1" applyProtection="1">
      <alignment horizontal="left" vertical="center" wrapText="1"/>
      <protection/>
    </xf>
    <xf numFmtId="0" fontId="55" fillId="0" borderId="12" xfId="0" applyFont="1" applyFill="1" applyBorder="1" applyAlignment="1" applyProtection="1">
      <alignment horizontal="left" vertical="center"/>
      <protection/>
    </xf>
    <xf numFmtId="0" fontId="57" fillId="0" borderId="12" xfId="0" applyFont="1" applyFill="1" applyBorder="1" applyAlignment="1" applyProtection="1">
      <alignment horizontal="left" vertical="center"/>
      <protection/>
    </xf>
  </cellXfs>
  <cellStyles count="14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0" xfId="98"/>
    <cellStyle name="Currency" xfId="99"/>
    <cellStyle name="Currency [0]" xfId="100"/>
    <cellStyle name="Currency 2" xfId="101"/>
    <cellStyle name="Currency0"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8" xfId="132"/>
    <cellStyle name="Normal 2" xfId="133"/>
    <cellStyle name="Normal 2 2" xfId="134"/>
    <cellStyle name="Normal 3 3" xfId="135"/>
    <cellStyle name="Normal 5" xfId="136"/>
    <cellStyle name="Note" xfId="137"/>
    <cellStyle name="Note 2" xfId="138"/>
    <cellStyle name="Note 3" xfId="139"/>
    <cellStyle name="Output" xfId="140"/>
    <cellStyle name="Output 2" xfId="141"/>
    <cellStyle name="Output 3" xfId="142"/>
    <cellStyle name="Percent" xfId="143"/>
    <cellStyle name="Percent 2" xfId="144"/>
    <cellStyle name="Title" xfId="145"/>
    <cellStyle name="Title 2" xfId="146"/>
    <cellStyle name="Title 3" xfId="147"/>
    <cellStyle name="Total" xfId="148"/>
    <cellStyle name="Total 2" xfId="149"/>
    <cellStyle name="Total 3" xfId="150"/>
    <cellStyle name="Warning Text" xfId="151"/>
    <cellStyle name="Warning Text 2" xfId="152"/>
    <cellStyle name="Warning Text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Comparison of Fee Rates: 2004 - 2015</a:t>
            </a:r>
          </a:p>
        </c:rich>
      </c:tx>
      <c:layout>
        <c:manualLayout>
          <c:xMode val="factor"/>
          <c:yMode val="factor"/>
          <c:x val="-0.00225"/>
          <c:y val="-0.013"/>
        </c:manualLayout>
      </c:layout>
      <c:spPr>
        <a:noFill/>
        <a:ln>
          <a:noFill/>
        </a:ln>
      </c:spPr>
    </c:title>
    <c:plotArea>
      <c:layout>
        <c:manualLayout>
          <c:xMode val="edge"/>
          <c:yMode val="edge"/>
          <c:x val="0"/>
          <c:y val="0"/>
          <c:w val="1"/>
          <c:h val="1"/>
        </c:manualLayout>
      </c:layout>
      <c:lineChart>
        <c:grouping val="standard"/>
        <c:varyColors val="0"/>
        <c:ser>
          <c:idx val="1"/>
          <c:order val="0"/>
          <c:tx>
            <c:strRef>
              <c:f>'Graph Data'!$B$3</c:f>
              <c:strCache>
                <c:ptCount val="1"/>
                <c:pt idx="0">
                  <c:v>2004 Fees</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99CC"/>
              </a:solidFill>
              <a:ln>
                <a:solidFill>
                  <a:srgbClr val="FF99CC"/>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Data'!$B$6:$B$28</c:f>
              <c:numCache>
                <c:ptCount val="23"/>
                <c:pt idx="0">
                  <c:v>0.26</c:v>
                </c:pt>
                <c:pt idx="1">
                  <c:v>0.26</c:v>
                </c:pt>
                <c:pt idx="2">
                  <c:v>3.1</c:v>
                </c:pt>
                <c:pt idx="3">
                  <c:v>6.87</c:v>
                </c:pt>
                <c:pt idx="4">
                  <c:v>13.18</c:v>
                </c:pt>
                <c:pt idx="5">
                  <c:v>59.87</c:v>
                </c:pt>
                <c:pt idx="6">
                  <c:v>59.87</c:v>
                </c:pt>
                <c:pt idx="7">
                  <c:v>59.87</c:v>
                </c:pt>
                <c:pt idx="8">
                  <c:v>59.87</c:v>
                </c:pt>
                <c:pt idx="9">
                  <c:v>59.87</c:v>
                </c:pt>
                <c:pt idx="10">
                  <c:v>96.1</c:v>
                </c:pt>
                <c:pt idx="11">
                  <c:v>96.1</c:v>
                </c:pt>
                <c:pt idx="12">
                  <c:v>96.1</c:v>
                </c:pt>
                <c:pt idx="13">
                  <c:v>96.1</c:v>
                </c:pt>
                <c:pt idx="14">
                  <c:v>96.1</c:v>
                </c:pt>
                <c:pt idx="15">
                  <c:v>96.1</c:v>
                </c:pt>
                <c:pt idx="16">
                  <c:v>43.91</c:v>
                </c:pt>
                <c:pt idx="17">
                  <c:v>43.91</c:v>
                </c:pt>
                <c:pt idx="18">
                  <c:v>43.91</c:v>
                </c:pt>
                <c:pt idx="19">
                  <c:v>-35.78</c:v>
                </c:pt>
                <c:pt idx="20">
                  <c:v>16.18</c:v>
                </c:pt>
                <c:pt idx="21">
                  <c:v>36.82</c:v>
                </c:pt>
                <c:pt idx="22">
                  <c:v>39.16</c:v>
                </c:pt>
              </c:numCache>
            </c:numRef>
          </c:val>
          <c:smooth val="0"/>
        </c:ser>
        <c:ser>
          <c:idx val="2"/>
          <c:order val="1"/>
          <c:tx>
            <c:strRef>
              <c:f>'Graph Data'!$C$3</c:f>
              <c:strCache>
                <c:ptCount val="1"/>
                <c:pt idx="0">
                  <c:v>2005 Fees</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FF99"/>
              </a:solidFill>
              <a:ln>
                <a:solidFill>
                  <a:srgbClr val="FFFF99"/>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Data'!$C$6:$C$28</c:f>
              <c:numCache>
                <c:ptCount val="23"/>
                <c:pt idx="0">
                  <c:v>0.76</c:v>
                </c:pt>
                <c:pt idx="1">
                  <c:v>7.86</c:v>
                </c:pt>
                <c:pt idx="2">
                  <c:v>8.62</c:v>
                </c:pt>
                <c:pt idx="3">
                  <c:v>13.02</c:v>
                </c:pt>
                <c:pt idx="4">
                  <c:v>90.29</c:v>
                </c:pt>
                <c:pt idx="5">
                  <c:v>79.04</c:v>
                </c:pt>
                <c:pt idx="6">
                  <c:v>79.04</c:v>
                </c:pt>
                <c:pt idx="7">
                  <c:v>79.04</c:v>
                </c:pt>
                <c:pt idx="8">
                  <c:v>79.04</c:v>
                </c:pt>
                <c:pt idx="9">
                  <c:v>79.04</c:v>
                </c:pt>
                <c:pt idx="10">
                  <c:v>139.07</c:v>
                </c:pt>
                <c:pt idx="11">
                  <c:v>139.07</c:v>
                </c:pt>
                <c:pt idx="12">
                  <c:v>139.07</c:v>
                </c:pt>
                <c:pt idx="13">
                  <c:v>139.07</c:v>
                </c:pt>
                <c:pt idx="14">
                  <c:v>139.07</c:v>
                </c:pt>
                <c:pt idx="15">
                  <c:v>139.07</c:v>
                </c:pt>
                <c:pt idx="16">
                  <c:v>47.45</c:v>
                </c:pt>
                <c:pt idx="17">
                  <c:v>47.45</c:v>
                </c:pt>
                <c:pt idx="18">
                  <c:v>47.45</c:v>
                </c:pt>
                <c:pt idx="19">
                  <c:v>-10.93</c:v>
                </c:pt>
                <c:pt idx="20">
                  <c:v>55.02</c:v>
                </c:pt>
                <c:pt idx="21">
                  <c:v>37.61</c:v>
                </c:pt>
                <c:pt idx="22">
                  <c:v>44.32</c:v>
                </c:pt>
              </c:numCache>
            </c:numRef>
          </c:val>
          <c:smooth val="0"/>
        </c:ser>
        <c:ser>
          <c:idx val="4"/>
          <c:order val="2"/>
          <c:tx>
            <c:strRef>
              <c:f>'Graph Data'!$D$3</c:f>
              <c:strCache>
                <c:ptCount val="1"/>
                <c:pt idx="0">
                  <c:v>2006 Fees</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CC99FF"/>
              </a:solidFill>
              <a:ln>
                <a:solidFill>
                  <a:srgbClr val="CC99FF"/>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Data'!$D$6:$D$28</c:f>
              <c:numCache>
                <c:ptCount val="23"/>
                <c:pt idx="0">
                  <c:v>1.82</c:v>
                </c:pt>
                <c:pt idx="1">
                  <c:v>7.33189299419214</c:v>
                </c:pt>
                <c:pt idx="2">
                  <c:v>14.80554348602006</c:v>
                </c:pt>
                <c:pt idx="3">
                  <c:v>11.895464629483744</c:v>
                </c:pt>
                <c:pt idx="4">
                  <c:v>79.59753115094605</c:v>
                </c:pt>
                <c:pt idx="5">
                  <c:v>76.72544671319383</c:v>
                </c:pt>
                <c:pt idx="6">
                  <c:v>76.72544671319383</c:v>
                </c:pt>
                <c:pt idx="7">
                  <c:v>76.72544671319383</c:v>
                </c:pt>
                <c:pt idx="8">
                  <c:v>76.72544671319383</c:v>
                </c:pt>
                <c:pt idx="9">
                  <c:v>76.72544671319383</c:v>
                </c:pt>
                <c:pt idx="10">
                  <c:v>135.55549560358926</c:v>
                </c:pt>
                <c:pt idx="11">
                  <c:v>135.55549560358926</c:v>
                </c:pt>
                <c:pt idx="12">
                  <c:v>135.55549560358926</c:v>
                </c:pt>
                <c:pt idx="13">
                  <c:v>135.55549560358926</c:v>
                </c:pt>
                <c:pt idx="14">
                  <c:v>135.55549560358926</c:v>
                </c:pt>
                <c:pt idx="15">
                  <c:v>135.55549560358926</c:v>
                </c:pt>
                <c:pt idx="16">
                  <c:v>46.012677353665175</c:v>
                </c:pt>
                <c:pt idx="17">
                  <c:v>46.012677353665175</c:v>
                </c:pt>
                <c:pt idx="18">
                  <c:v>46.012677353665175</c:v>
                </c:pt>
                <c:pt idx="19">
                  <c:v>-4.764947496477933</c:v>
                </c:pt>
                <c:pt idx="20">
                  <c:v>35.76863819998456</c:v>
                </c:pt>
                <c:pt idx="21">
                  <c:v>33.09389591339549</c:v>
                </c:pt>
                <c:pt idx="22">
                  <c:v>36.02415673609086</c:v>
                </c:pt>
              </c:numCache>
            </c:numRef>
          </c:val>
          <c:smooth val="0"/>
        </c:ser>
        <c:ser>
          <c:idx val="5"/>
          <c:order val="3"/>
          <c:tx>
            <c:strRef>
              <c:f>'Graph Data'!$E$3</c:f>
              <c:strCache>
                <c:ptCount val="1"/>
                <c:pt idx="0">
                  <c:v>2007 Fees</c:v>
                </c:pt>
              </c:strCache>
            </c:strRef>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CCFFCC"/>
              </a:solidFill>
              <a:ln>
                <a:solidFill>
                  <a:srgbClr val="CCFFCC"/>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Data'!$E$6:$E$28</c:f>
              <c:numCache>
                <c:ptCount val="23"/>
                <c:pt idx="0">
                  <c:v>1.979799338111835</c:v>
                </c:pt>
                <c:pt idx="1">
                  <c:v>6.742588963340355</c:v>
                </c:pt>
                <c:pt idx="2">
                  <c:v>18.401472742575557</c:v>
                </c:pt>
                <c:pt idx="3">
                  <c:v>18.401472742575557</c:v>
                </c:pt>
                <c:pt idx="4">
                  <c:v>18.401472742575557</c:v>
                </c:pt>
                <c:pt idx="5">
                  <c:v>71.65715999360948</c:v>
                </c:pt>
                <c:pt idx="6">
                  <c:v>71.65715999360948</c:v>
                </c:pt>
                <c:pt idx="7">
                  <c:v>100.55331036250215</c:v>
                </c:pt>
                <c:pt idx="8">
                  <c:v>100.55331036250215</c:v>
                </c:pt>
                <c:pt idx="9">
                  <c:v>100.55331036250215</c:v>
                </c:pt>
                <c:pt idx="10">
                  <c:v>116.44484070604007</c:v>
                </c:pt>
                <c:pt idx="11">
                  <c:v>99.28814165840889</c:v>
                </c:pt>
                <c:pt idx="12">
                  <c:v>147.20437670271855</c:v>
                </c:pt>
                <c:pt idx="13">
                  <c:v>147.20437670271855</c:v>
                </c:pt>
                <c:pt idx="14">
                  <c:v>147.20437670271855</c:v>
                </c:pt>
                <c:pt idx="15">
                  <c:v>147.20437670271855</c:v>
                </c:pt>
                <c:pt idx="16">
                  <c:v>43.979181803223526</c:v>
                </c:pt>
                <c:pt idx="17">
                  <c:v>43.979181803223526</c:v>
                </c:pt>
                <c:pt idx="18">
                  <c:v>43.979181803223526</c:v>
                </c:pt>
                <c:pt idx="19">
                  <c:v>-18.631222727235745</c:v>
                </c:pt>
                <c:pt idx="20">
                  <c:v>58.626861865452575</c:v>
                </c:pt>
                <c:pt idx="21">
                  <c:v>35.9646386862942</c:v>
                </c:pt>
                <c:pt idx="22">
                  <c:v>40.76751128855327</c:v>
                </c:pt>
              </c:numCache>
            </c:numRef>
          </c:val>
          <c:smooth val="0"/>
        </c:ser>
        <c:ser>
          <c:idx val="0"/>
          <c:order val="4"/>
          <c:tx>
            <c:strRef>
              <c:f>'Graph Data'!$F$3</c:f>
              <c:strCache>
                <c:ptCount val="1"/>
                <c:pt idx="0">
                  <c:v>2008 Fees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008080"/>
              </a:solidFill>
              <a:ln>
                <a:solidFill>
                  <a:srgbClr val="008080"/>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Data'!$F$6:$F$28</c:f>
              <c:numCache>
                <c:ptCount val="23"/>
                <c:pt idx="0">
                  <c:v>1.478071136328613</c:v>
                </c:pt>
                <c:pt idx="1">
                  <c:v>7.638253904580368</c:v>
                </c:pt>
                <c:pt idx="2">
                  <c:v>21.824292805857553</c:v>
                </c:pt>
                <c:pt idx="3">
                  <c:v>21.824292805857553</c:v>
                </c:pt>
                <c:pt idx="4">
                  <c:v>21.824292805857553</c:v>
                </c:pt>
                <c:pt idx="5">
                  <c:v>72.51641775723046</c:v>
                </c:pt>
                <c:pt idx="6">
                  <c:v>72.51641775723046</c:v>
                </c:pt>
                <c:pt idx="7">
                  <c:v>125.34432015022884</c:v>
                </c:pt>
                <c:pt idx="8">
                  <c:v>125.34432015022884</c:v>
                </c:pt>
                <c:pt idx="9">
                  <c:v>125.34432015022884</c:v>
                </c:pt>
                <c:pt idx="10">
                  <c:v>112.37744395249348</c:v>
                </c:pt>
                <c:pt idx="11">
                  <c:v>111.34854100248793</c:v>
                </c:pt>
                <c:pt idx="12">
                  <c:v>184.48623410160064</c:v>
                </c:pt>
                <c:pt idx="13">
                  <c:v>184.48623410160064</c:v>
                </c:pt>
                <c:pt idx="14">
                  <c:v>184.48623410160064</c:v>
                </c:pt>
                <c:pt idx="15">
                  <c:v>184.48623410160064</c:v>
                </c:pt>
                <c:pt idx="16">
                  <c:v>47.4363670769528</c:v>
                </c:pt>
                <c:pt idx="17">
                  <c:v>47.4363670769528</c:v>
                </c:pt>
                <c:pt idx="18">
                  <c:v>47.4363670769528</c:v>
                </c:pt>
                <c:pt idx="19">
                  <c:v>-22.15278870253392</c:v>
                </c:pt>
                <c:pt idx="20">
                  <c:v>50.95339436536893</c:v>
                </c:pt>
                <c:pt idx="21">
                  <c:v>35.2937202783169</c:v>
                </c:pt>
                <c:pt idx="22">
                  <c:v>39.76028107810004</c:v>
                </c:pt>
              </c:numCache>
            </c:numRef>
          </c:val>
          <c:smooth val="0"/>
        </c:ser>
        <c:ser>
          <c:idx val="6"/>
          <c:order val="5"/>
          <c:tx>
            <c:strRef>
              <c:f>'Graph Data'!$G$3</c:f>
              <c:strCache>
                <c:ptCount val="1"/>
                <c:pt idx="0">
                  <c:v>2009 Fees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000080"/>
              </a:solidFill>
              <a:ln>
                <a:solidFill>
                  <a:srgbClr val="000080"/>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Data'!$G$6:$G$28</c:f>
              <c:numCache>
                <c:ptCount val="23"/>
                <c:pt idx="0">
                  <c:v>1.5418634318364675</c:v>
                </c:pt>
                <c:pt idx="1">
                  <c:v>13.460826036568722</c:v>
                </c:pt>
                <c:pt idx="2">
                  <c:v>33.73381813204801</c:v>
                </c:pt>
                <c:pt idx="3">
                  <c:v>33.73381813204801</c:v>
                </c:pt>
                <c:pt idx="4">
                  <c:v>33.73381813204801</c:v>
                </c:pt>
                <c:pt idx="5">
                  <c:v>80.20087024775773</c:v>
                </c:pt>
                <c:pt idx="6">
                  <c:v>80.20087024775773</c:v>
                </c:pt>
                <c:pt idx="7">
                  <c:v>135.08362386516842</c:v>
                </c:pt>
                <c:pt idx="8">
                  <c:v>135.08362386516842</c:v>
                </c:pt>
                <c:pt idx="9">
                  <c:v>135.08362386516842</c:v>
                </c:pt>
                <c:pt idx="10">
                  <c:v>124.84027705283846</c:v>
                </c:pt>
                <c:pt idx="11">
                  <c:v>113.71795639706075</c:v>
                </c:pt>
                <c:pt idx="12">
                  <c:v>190.26836732120478</c:v>
                </c:pt>
                <c:pt idx="13">
                  <c:v>190.26836732120478</c:v>
                </c:pt>
                <c:pt idx="14">
                  <c:v>190.26836732120478</c:v>
                </c:pt>
                <c:pt idx="15">
                  <c:v>190.26836732120478</c:v>
                </c:pt>
                <c:pt idx="16">
                  <c:v>49.98391473422041</c:v>
                </c:pt>
                <c:pt idx="17">
                  <c:v>49.98391473422041</c:v>
                </c:pt>
                <c:pt idx="18">
                  <c:v>49.98391473422041</c:v>
                </c:pt>
                <c:pt idx="19">
                  <c:v>-29.836865039925833</c:v>
                </c:pt>
                <c:pt idx="20">
                  <c:v>59.2060316177282</c:v>
                </c:pt>
                <c:pt idx="21">
                  <c:v>34.61226032585347</c:v>
                </c:pt>
                <c:pt idx="22">
                  <c:v>43.43895222844472</c:v>
                </c:pt>
              </c:numCache>
            </c:numRef>
          </c:val>
          <c:smooth val="0"/>
        </c:ser>
        <c:ser>
          <c:idx val="3"/>
          <c:order val="6"/>
          <c:tx>
            <c:strRef>
              <c:f>'Graph Data'!$H$3</c:f>
              <c:strCache>
                <c:ptCount val="1"/>
                <c:pt idx="0">
                  <c:v>2010 Fees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Data'!$H$6:$H$28</c:f>
              <c:numCache>
                <c:ptCount val="23"/>
                <c:pt idx="0">
                  <c:v>1.7</c:v>
                </c:pt>
                <c:pt idx="1">
                  <c:v>7.1</c:v>
                </c:pt>
                <c:pt idx="2">
                  <c:v>19.7</c:v>
                </c:pt>
                <c:pt idx="3">
                  <c:v>19.7</c:v>
                </c:pt>
                <c:pt idx="4">
                  <c:v>19.7</c:v>
                </c:pt>
                <c:pt idx="5">
                  <c:v>78.1</c:v>
                </c:pt>
                <c:pt idx="6">
                  <c:v>78.1</c:v>
                </c:pt>
                <c:pt idx="7">
                  <c:v>196.5</c:v>
                </c:pt>
                <c:pt idx="8">
                  <c:v>196.5</c:v>
                </c:pt>
                <c:pt idx="9">
                  <c:v>196.5</c:v>
                </c:pt>
                <c:pt idx="10">
                  <c:v>129.8</c:v>
                </c:pt>
                <c:pt idx="11">
                  <c:v>124.9</c:v>
                </c:pt>
                <c:pt idx="12">
                  <c:v>246.5</c:v>
                </c:pt>
                <c:pt idx="13">
                  <c:v>246.5</c:v>
                </c:pt>
                <c:pt idx="14">
                  <c:v>246.5</c:v>
                </c:pt>
                <c:pt idx="15">
                  <c:v>246.5</c:v>
                </c:pt>
                <c:pt idx="16">
                  <c:v>55.4</c:v>
                </c:pt>
                <c:pt idx="17">
                  <c:v>55.4</c:v>
                </c:pt>
                <c:pt idx="18">
                  <c:v>55.4</c:v>
                </c:pt>
                <c:pt idx="19">
                  <c:v>-22</c:v>
                </c:pt>
                <c:pt idx="20">
                  <c:v>13.9</c:v>
                </c:pt>
                <c:pt idx="21">
                  <c:v>38</c:v>
                </c:pt>
                <c:pt idx="22">
                  <c:v>41</c:v>
                </c:pt>
              </c:numCache>
            </c:numRef>
          </c:val>
          <c:smooth val="0"/>
        </c:ser>
        <c:ser>
          <c:idx val="7"/>
          <c:order val="7"/>
          <c:tx>
            <c:strRef>
              <c:f>'Graph Data'!$I$3</c:f>
              <c:strCache>
                <c:ptCount val="1"/>
                <c:pt idx="0">
                  <c:v>2011 Fees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Data'!$I$6:$I$28</c:f>
              <c:numCache>
                <c:ptCount val="23"/>
                <c:pt idx="0">
                  <c:v>2.9000000000000004</c:v>
                </c:pt>
                <c:pt idx="1">
                  <c:v>11.2</c:v>
                </c:pt>
                <c:pt idx="2">
                  <c:v>24.8</c:v>
                </c:pt>
                <c:pt idx="3">
                  <c:v>24.8</c:v>
                </c:pt>
                <c:pt idx="4">
                  <c:v>24.8</c:v>
                </c:pt>
                <c:pt idx="5">
                  <c:v>77</c:v>
                </c:pt>
                <c:pt idx="6">
                  <c:v>77</c:v>
                </c:pt>
                <c:pt idx="7">
                  <c:v>237.5</c:v>
                </c:pt>
                <c:pt idx="8">
                  <c:v>237.5</c:v>
                </c:pt>
                <c:pt idx="9">
                  <c:v>237.5</c:v>
                </c:pt>
                <c:pt idx="10">
                  <c:v>137.8</c:v>
                </c:pt>
                <c:pt idx="11">
                  <c:v>132.7</c:v>
                </c:pt>
                <c:pt idx="12">
                  <c:v>281.6</c:v>
                </c:pt>
                <c:pt idx="13">
                  <c:v>281.6</c:v>
                </c:pt>
                <c:pt idx="14">
                  <c:v>281.6</c:v>
                </c:pt>
                <c:pt idx="15">
                  <c:v>281.6</c:v>
                </c:pt>
                <c:pt idx="16">
                  <c:v>62.6</c:v>
                </c:pt>
                <c:pt idx="17">
                  <c:v>62.6</c:v>
                </c:pt>
                <c:pt idx="18">
                  <c:v>62.6</c:v>
                </c:pt>
                <c:pt idx="19">
                  <c:v>5.2</c:v>
                </c:pt>
                <c:pt idx="20">
                  <c:v>75</c:v>
                </c:pt>
                <c:pt idx="21">
                  <c:v>36.9</c:v>
                </c:pt>
                <c:pt idx="22">
                  <c:v>53.5</c:v>
                </c:pt>
              </c:numCache>
            </c:numRef>
          </c:val>
          <c:smooth val="0"/>
        </c:ser>
        <c:ser>
          <c:idx val="8"/>
          <c:order val="8"/>
          <c:tx>
            <c:strRef>
              <c:f>'Graph Data'!$J$3</c:f>
              <c:strCache>
                <c:ptCount val="1"/>
                <c:pt idx="0">
                  <c:v>2012 Fees</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Data'!$J$6:$J$28</c:f>
              <c:numCache>
                <c:ptCount val="23"/>
                <c:pt idx="0">
                  <c:v>3.3</c:v>
                </c:pt>
                <c:pt idx="1">
                  <c:v>20.199999999999996</c:v>
                </c:pt>
                <c:pt idx="2">
                  <c:v>54.5</c:v>
                </c:pt>
                <c:pt idx="3">
                  <c:v>54.5</c:v>
                </c:pt>
                <c:pt idx="4">
                  <c:v>54.5</c:v>
                </c:pt>
                <c:pt idx="5">
                  <c:v>114.48524813645756</c:v>
                </c:pt>
                <c:pt idx="6">
                  <c:v>93.369105045682</c:v>
                </c:pt>
                <c:pt idx="7">
                  <c:v>187.6</c:v>
                </c:pt>
                <c:pt idx="8">
                  <c:v>187.6</c:v>
                </c:pt>
                <c:pt idx="9">
                  <c:v>187.6</c:v>
                </c:pt>
                <c:pt idx="10">
                  <c:v>162.4</c:v>
                </c:pt>
                <c:pt idx="11">
                  <c:v>136</c:v>
                </c:pt>
                <c:pt idx="12">
                  <c:v>272.3</c:v>
                </c:pt>
                <c:pt idx="13">
                  <c:v>272.3</c:v>
                </c:pt>
                <c:pt idx="14">
                  <c:v>272.3</c:v>
                </c:pt>
                <c:pt idx="15">
                  <c:v>293.217403265496</c:v>
                </c:pt>
                <c:pt idx="16">
                  <c:v>60.69999999999999</c:v>
                </c:pt>
                <c:pt idx="17">
                  <c:v>60.69999999999999</c:v>
                </c:pt>
                <c:pt idx="18">
                  <c:v>60.69999999999999</c:v>
                </c:pt>
                <c:pt idx="19">
                  <c:v>20</c:v>
                </c:pt>
                <c:pt idx="20">
                  <c:v>84.1</c:v>
                </c:pt>
                <c:pt idx="21">
                  <c:v>32.699999999999996</c:v>
                </c:pt>
                <c:pt idx="22">
                  <c:v>38.3</c:v>
                </c:pt>
              </c:numCache>
            </c:numRef>
          </c:val>
          <c:smooth val="0"/>
        </c:ser>
        <c:ser>
          <c:idx val="9"/>
          <c:order val="9"/>
          <c:tx>
            <c:strRef>
              <c:f>'Graph Data'!$K$3</c:f>
              <c:strCache>
                <c:ptCount val="1"/>
                <c:pt idx="0">
                  <c:v>2013 Fees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Data'!$K$6:$K$28</c:f>
              <c:numCache>
                <c:ptCount val="23"/>
                <c:pt idx="0">
                  <c:v>4.2</c:v>
                </c:pt>
                <c:pt idx="1">
                  <c:v>36.199999999999996</c:v>
                </c:pt>
                <c:pt idx="2">
                  <c:v>64.7</c:v>
                </c:pt>
                <c:pt idx="3">
                  <c:v>66.4</c:v>
                </c:pt>
                <c:pt idx="4">
                  <c:v>99.9</c:v>
                </c:pt>
                <c:pt idx="5">
                  <c:v>83.9</c:v>
                </c:pt>
                <c:pt idx="6">
                  <c:v>83.9</c:v>
                </c:pt>
                <c:pt idx="7">
                  <c:v>182.20000000000005</c:v>
                </c:pt>
                <c:pt idx="8">
                  <c:v>182.20000000000005</c:v>
                </c:pt>
                <c:pt idx="9">
                  <c:v>182.20000000000005</c:v>
                </c:pt>
                <c:pt idx="10">
                  <c:v>147</c:v>
                </c:pt>
                <c:pt idx="11">
                  <c:v>135.2</c:v>
                </c:pt>
                <c:pt idx="12">
                  <c:v>232.70000000000005</c:v>
                </c:pt>
                <c:pt idx="13">
                  <c:v>232.70000000000005</c:v>
                </c:pt>
                <c:pt idx="14">
                  <c:v>232.70000000000005</c:v>
                </c:pt>
                <c:pt idx="15">
                  <c:v>232.70000000000005</c:v>
                </c:pt>
                <c:pt idx="16">
                  <c:v>55.1</c:v>
                </c:pt>
                <c:pt idx="17">
                  <c:v>55.1</c:v>
                </c:pt>
                <c:pt idx="18">
                  <c:v>55.1</c:v>
                </c:pt>
                <c:pt idx="19">
                  <c:v>25.599999999999994</c:v>
                </c:pt>
                <c:pt idx="20">
                  <c:v>69.7</c:v>
                </c:pt>
                <c:pt idx="21">
                  <c:v>28.4</c:v>
                </c:pt>
                <c:pt idx="22">
                  <c:v>48.4</c:v>
                </c:pt>
              </c:numCache>
            </c:numRef>
          </c:val>
          <c:smooth val="0"/>
        </c:ser>
        <c:ser>
          <c:idx val="10"/>
          <c:order val="10"/>
          <c:tx>
            <c:strRef>
              <c:f>'Graph Data'!$L$3</c:f>
              <c:strCache>
                <c:ptCount val="1"/>
                <c:pt idx="0">
                  <c:v>2014 Fees</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Data'!$L$6:$L$28</c:f>
              <c:numCache>
                <c:ptCount val="23"/>
                <c:pt idx="0">
                  <c:v>3</c:v>
                </c:pt>
                <c:pt idx="1">
                  <c:v>41.8</c:v>
                </c:pt>
                <c:pt idx="2">
                  <c:v>67.4</c:v>
                </c:pt>
                <c:pt idx="3">
                  <c:v>64.6</c:v>
                </c:pt>
                <c:pt idx="4">
                  <c:v>122.9</c:v>
                </c:pt>
                <c:pt idx="5">
                  <c:v>81</c:v>
                </c:pt>
                <c:pt idx="6">
                  <c:v>81</c:v>
                </c:pt>
                <c:pt idx="7">
                  <c:v>181.9</c:v>
                </c:pt>
                <c:pt idx="8">
                  <c:v>181.9</c:v>
                </c:pt>
                <c:pt idx="9">
                  <c:v>181.9</c:v>
                </c:pt>
                <c:pt idx="10">
                  <c:v>140.2</c:v>
                </c:pt>
                <c:pt idx="11">
                  <c:v>126.2</c:v>
                </c:pt>
                <c:pt idx="12">
                  <c:v>225.40000000000003</c:v>
                </c:pt>
                <c:pt idx="13">
                  <c:v>225.40000000000003</c:v>
                </c:pt>
                <c:pt idx="14">
                  <c:v>225.40000000000003</c:v>
                </c:pt>
                <c:pt idx="15">
                  <c:v>225.40000000000003</c:v>
                </c:pt>
                <c:pt idx="16">
                  <c:v>50.6</c:v>
                </c:pt>
                <c:pt idx="17">
                  <c:v>50.6</c:v>
                </c:pt>
                <c:pt idx="18">
                  <c:v>50.6</c:v>
                </c:pt>
                <c:pt idx="19">
                  <c:v>17.7</c:v>
                </c:pt>
                <c:pt idx="20">
                  <c:v>65.69999999999999</c:v>
                </c:pt>
                <c:pt idx="21">
                  <c:v>27.1</c:v>
                </c:pt>
                <c:pt idx="22">
                  <c:v>43.599999999999994</c:v>
                </c:pt>
              </c:numCache>
            </c:numRef>
          </c:val>
          <c:smooth val="0"/>
        </c:ser>
        <c:ser>
          <c:idx val="11"/>
          <c:order val="11"/>
          <c:tx>
            <c:strRef>
              <c:f>'Graph Data'!$M$3</c:f>
              <c:strCache>
                <c:ptCount val="1"/>
                <c:pt idx="0">
                  <c:v>2015 Fees</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cat>
            <c:strRef>
              <c:f>'Graph Data'!$A$6:$A$28</c:f>
              <c:strCache>
                <c:ptCount val="23"/>
                <c:pt idx="0">
                  <c:v>Newsprint - CNA/OCNA</c:v>
                </c:pt>
                <c:pt idx="1">
                  <c:v>Newsprint - Non-CNA/OCNA</c:v>
                </c:pt>
                <c:pt idx="2">
                  <c:v>Magazines and Catalogues</c:v>
                </c:pt>
                <c:pt idx="3">
                  <c:v>Telephone Books</c:v>
                </c:pt>
                <c:pt idx="4">
                  <c:v>Other Printed Paper</c:v>
                </c:pt>
                <c:pt idx="5">
                  <c:v>Corrugated Cardboard</c:v>
                </c:pt>
                <c:pt idx="6">
                  <c:v>Boxboard</c:v>
                </c:pt>
                <c:pt idx="7">
                  <c:v>Gable Top Cartons</c:v>
                </c:pt>
                <c:pt idx="8">
                  <c:v>Paper Laminates</c:v>
                </c:pt>
                <c:pt idx="9">
                  <c:v>Aseptic Containers</c:v>
                </c:pt>
                <c:pt idx="10">
                  <c:v>PET Bottles</c:v>
                </c:pt>
                <c:pt idx="11">
                  <c:v>HDPE Bottles</c:v>
                </c:pt>
                <c:pt idx="12">
                  <c:v>Plastic Film</c:v>
                </c:pt>
                <c:pt idx="13">
                  <c:v>Plastic Laminates</c:v>
                </c:pt>
                <c:pt idx="14">
                  <c:v>Polystyrene</c:v>
                </c:pt>
                <c:pt idx="15">
                  <c:v>Other Plastics</c:v>
                </c:pt>
                <c:pt idx="16">
                  <c:v>Steel Food &amp; Beverage Cans</c:v>
                </c:pt>
                <c:pt idx="17">
                  <c:v>Steel Aerosols</c:v>
                </c:pt>
                <c:pt idx="18">
                  <c:v>Steel Paint Cans</c:v>
                </c:pt>
                <c:pt idx="19">
                  <c:v>Aluminum Food &amp; Beverage Cans</c:v>
                </c:pt>
                <c:pt idx="20">
                  <c:v>Other Aluminum Packaging</c:v>
                </c:pt>
                <c:pt idx="21">
                  <c:v>Clear Glass</c:v>
                </c:pt>
                <c:pt idx="22">
                  <c:v>Coloured Glass</c:v>
                </c:pt>
              </c:strCache>
            </c:strRef>
          </c:cat>
          <c:val>
            <c:numRef>
              <c:f>'Graph Data'!$M$6:$M$28</c:f>
              <c:numCache>
                <c:ptCount val="23"/>
                <c:pt idx="0">
                  <c:v>3.8</c:v>
                </c:pt>
                <c:pt idx="1">
                  <c:v>47.2</c:v>
                </c:pt>
                <c:pt idx="2">
                  <c:v>77.4</c:v>
                </c:pt>
                <c:pt idx="3">
                  <c:v>75.4</c:v>
                </c:pt>
                <c:pt idx="4">
                  <c:v>160</c:v>
                </c:pt>
                <c:pt idx="5">
                  <c:v>84.59999999999998</c:v>
                </c:pt>
                <c:pt idx="6">
                  <c:v>84.59999999999998</c:v>
                </c:pt>
                <c:pt idx="7">
                  <c:v>212.90000000000003</c:v>
                </c:pt>
                <c:pt idx="8">
                  <c:v>212.90000000000003</c:v>
                </c:pt>
                <c:pt idx="9">
                  <c:v>212.90000000000003</c:v>
                </c:pt>
                <c:pt idx="10">
                  <c:v>151.9</c:v>
                </c:pt>
                <c:pt idx="11">
                  <c:v>131.2</c:v>
                </c:pt>
                <c:pt idx="12">
                  <c:v>281</c:v>
                </c:pt>
                <c:pt idx="13">
                  <c:v>281</c:v>
                </c:pt>
                <c:pt idx="14">
                  <c:v>281</c:v>
                </c:pt>
                <c:pt idx="15">
                  <c:v>281</c:v>
                </c:pt>
                <c:pt idx="16">
                  <c:v>57.7</c:v>
                </c:pt>
                <c:pt idx="17">
                  <c:v>57.7</c:v>
                </c:pt>
                <c:pt idx="18">
                  <c:v>57.7</c:v>
                </c:pt>
                <c:pt idx="19">
                  <c:v>39.8</c:v>
                </c:pt>
                <c:pt idx="20">
                  <c:v>85.49999999999999</c:v>
                </c:pt>
                <c:pt idx="21">
                  <c:v>33.699999999999996</c:v>
                </c:pt>
                <c:pt idx="22">
                  <c:v>36.5</c:v>
                </c:pt>
              </c:numCache>
            </c:numRef>
          </c:val>
          <c:smooth val="0"/>
        </c:ser>
        <c:marker val="1"/>
        <c:axId val="66070100"/>
        <c:axId val="57759989"/>
      </c:lineChart>
      <c:catAx>
        <c:axId val="6607010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7759989"/>
        <c:crosses val="autoZero"/>
        <c:auto val="1"/>
        <c:lblOffset val="100"/>
        <c:tickLblSkip val="1"/>
        <c:noMultiLvlLbl val="0"/>
      </c:catAx>
      <c:valAx>
        <c:axId val="5775998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Total Fee Rate ($/tonne)</a:t>
                </a:r>
              </a:p>
            </c:rich>
          </c:tx>
          <c:layout>
            <c:manualLayout>
              <c:xMode val="factor"/>
              <c:yMode val="factor"/>
              <c:x val="-0.02075"/>
              <c:y val="-0.004"/>
            </c:manualLayout>
          </c:layout>
          <c:overlay val="0"/>
          <c:spPr>
            <a:noFill/>
            <a:ln>
              <a:noFill/>
            </a:ln>
          </c:spPr>
        </c:title>
        <c:delete val="0"/>
        <c:numFmt formatCode="0" sourceLinked="0"/>
        <c:majorTickMark val="out"/>
        <c:minorTickMark val="none"/>
        <c:tickLblPos val="nextTo"/>
        <c:spPr>
          <a:ln w="3175">
            <a:solidFill>
              <a:srgbClr val="000000"/>
            </a:solidFill>
          </a:ln>
        </c:spPr>
        <c:crossAx val="66070100"/>
        <c:crossesAt val="1"/>
        <c:crossBetween val="between"/>
        <c:dispUnits/>
      </c:valAx>
      <c:spPr>
        <a:noFill/>
        <a:ln>
          <a:noFill/>
        </a:ln>
      </c:spPr>
    </c:plotArea>
    <c:legend>
      <c:legendPos val="r"/>
      <c:layout>
        <c:manualLayout>
          <c:xMode val="edge"/>
          <c:yMode val="edge"/>
          <c:x val="0.167"/>
          <c:y val="0.081"/>
          <c:w val="0.08675"/>
          <c:h val="0.338"/>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5"/>
  </sheetViews>
  <pageMargins left="0.7480314960629921" right="0.7480314960629921" top="0.984251968503937" bottom="0.984251968503937" header="0.5118110236220472" footer="0.5118110236220472"/>
  <pageSetup horizontalDpi="600" verticalDpi="600" orientation="landscape"/>
  <headerFooter>
    <oddFooter>&amp;L&amp;12Steward Fee-Setting&amp;R&amp;12Stewardship Ontario, 
July, 2013</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76"/>
  <sheetViews>
    <sheetView showGridLines="0" zoomScale="85" zoomScaleNormal="85" zoomScalePageLayoutView="0" workbookViewId="0" topLeftCell="A1">
      <selection activeCell="A4" sqref="A4"/>
    </sheetView>
  </sheetViews>
  <sheetFormatPr defaultColWidth="9.140625" defaultRowHeight="12.75"/>
  <cols>
    <col min="1" max="1" width="41.8515625" style="2" customWidth="1"/>
    <col min="2" max="2" width="16.28125" style="2" customWidth="1"/>
    <col min="3" max="3" width="12.28125" style="2" bestFit="1" customWidth="1"/>
    <col min="4" max="4" width="30.28125" style="2" customWidth="1"/>
    <col min="5" max="5" width="21.57421875" style="2" customWidth="1"/>
    <col min="6" max="6" width="12.00390625" style="2" bestFit="1" customWidth="1"/>
    <col min="7" max="8" width="18.421875" style="2" customWidth="1"/>
    <col min="9" max="16384" width="9.140625" style="2" customWidth="1"/>
  </cols>
  <sheetData>
    <row r="1" spans="1:5" ht="26.25">
      <c r="A1" s="440" t="s">
        <v>199</v>
      </c>
      <c r="E1" s="816"/>
    </row>
    <row r="2" spans="1:8" ht="15.75">
      <c r="A2" s="964"/>
      <c r="B2" s="964"/>
      <c r="C2" s="964"/>
      <c r="D2" s="964"/>
      <c r="E2" s="964"/>
      <c r="F2" s="964"/>
      <c r="G2" s="964"/>
      <c r="H2" s="964"/>
    </row>
    <row r="3" ht="13.5" thickBot="1"/>
    <row r="4" spans="1:9" ht="47.25">
      <c r="A4" s="592" t="s">
        <v>115</v>
      </c>
      <c r="B4" s="651"/>
      <c r="D4" s="665"/>
      <c r="E4" s="821" t="s">
        <v>200</v>
      </c>
      <c r="G4" s="962" t="s">
        <v>123</v>
      </c>
      <c r="H4" s="963"/>
      <c r="I4" s="781"/>
    </row>
    <row r="5" spans="1:9" ht="12.75">
      <c r="A5" s="654" t="s">
        <v>109</v>
      </c>
      <c r="B5" s="655">
        <f>'Sheet 2 Gross &amp; Net Costs'!K43</f>
        <v>113517620.51437499</v>
      </c>
      <c r="C5" s="296"/>
      <c r="D5" s="666"/>
      <c r="E5" s="822" t="s">
        <v>58</v>
      </c>
      <c r="G5" s="662"/>
      <c r="H5" s="584" t="s">
        <v>106</v>
      </c>
      <c r="I5" s="781"/>
    </row>
    <row r="6" spans="1:9" ht="12.75">
      <c r="A6" s="654" t="s">
        <v>110</v>
      </c>
      <c r="B6" s="655">
        <v>0</v>
      </c>
      <c r="C6" s="97"/>
      <c r="D6" s="660" t="s">
        <v>89</v>
      </c>
      <c r="E6" s="877">
        <v>146059.112</v>
      </c>
      <c r="F6" s="102"/>
      <c r="G6" s="660" t="s">
        <v>0</v>
      </c>
      <c r="H6" s="878">
        <v>0.15965965965965967</v>
      </c>
      <c r="I6" s="954"/>
    </row>
    <row r="7" spans="1:9" ht="12.75">
      <c r="A7" s="652" t="s">
        <v>111</v>
      </c>
      <c r="B7" s="897">
        <f>B5-B6</f>
        <v>113517620.51437499</v>
      </c>
      <c r="C7" s="97"/>
      <c r="D7" s="660" t="s">
        <v>65</v>
      </c>
      <c r="E7" s="877">
        <v>120245.0195</v>
      </c>
      <c r="F7" s="102"/>
      <c r="G7" s="660" t="s">
        <v>4</v>
      </c>
      <c r="H7" s="878">
        <v>0.2520854187520854</v>
      </c>
      <c r="I7" s="954"/>
    </row>
    <row r="8" spans="1:9" ht="12.75">
      <c r="A8" s="654"/>
      <c r="B8" s="656"/>
      <c r="C8" s="97"/>
      <c r="D8" s="660" t="s">
        <v>3</v>
      </c>
      <c r="E8" s="877">
        <v>40540.1586</v>
      </c>
      <c r="F8" s="102"/>
      <c r="G8" s="660" t="s">
        <v>150</v>
      </c>
      <c r="H8" s="878">
        <v>0.4177510844177511</v>
      </c>
      <c r="I8" s="954"/>
    </row>
    <row r="9" spans="1:9" ht="12.75">
      <c r="A9" s="654" t="s">
        <v>134</v>
      </c>
      <c r="B9" s="655">
        <f>(B7-B25)*0.05</f>
        <v>5331911.81695875</v>
      </c>
      <c r="C9" s="97"/>
      <c r="D9" s="660" t="s">
        <v>1</v>
      </c>
      <c r="E9" s="877">
        <v>4069.371</v>
      </c>
      <c r="F9" s="102"/>
      <c r="G9" s="660" t="s">
        <v>36</v>
      </c>
      <c r="H9" s="878">
        <v>0.05672339005672339</v>
      </c>
      <c r="I9" s="954"/>
    </row>
    <row r="10" spans="1:9" ht="12.75">
      <c r="A10" s="654"/>
      <c r="B10" s="655"/>
      <c r="C10" s="97"/>
      <c r="D10" s="660" t="s">
        <v>2</v>
      </c>
      <c r="E10" s="877">
        <v>50814.74055499999</v>
      </c>
      <c r="F10" s="102"/>
      <c r="G10" s="660" t="s">
        <v>9</v>
      </c>
      <c r="H10" s="878">
        <v>0.06089422756089423</v>
      </c>
      <c r="I10" s="954"/>
    </row>
    <row r="11" spans="1:9" ht="12.75">
      <c r="A11" s="652" t="s">
        <v>61</v>
      </c>
      <c r="B11" s="653"/>
      <c r="C11" s="97"/>
      <c r="D11" s="660" t="s">
        <v>145</v>
      </c>
      <c r="E11" s="877">
        <v>117501.7047</v>
      </c>
      <c r="F11" s="102"/>
      <c r="G11" s="660" t="s">
        <v>10</v>
      </c>
      <c r="H11" s="878">
        <v>0.05288621955288622</v>
      </c>
      <c r="I11" s="954"/>
    </row>
    <row r="12" spans="1:9" ht="13.5" thickBot="1">
      <c r="A12" s="654" t="s">
        <v>40</v>
      </c>
      <c r="B12" s="655">
        <f>'Sheet 2 Gross &amp; Net Costs'!K12/'Sheet 2 Gross &amp; Net Costs'!K41*Parameters!B7</f>
        <v>23670922.83143794</v>
      </c>
      <c r="C12" s="97"/>
      <c r="D12" s="660" t="s">
        <v>147</v>
      </c>
      <c r="E12" s="877">
        <v>155730.10009200004</v>
      </c>
      <c r="F12" s="102"/>
      <c r="G12" s="661" t="s">
        <v>97</v>
      </c>
      <c r="H12" s="870">
        <f>SUM(H6:H11)</f>
        <v>1</v>
      </c>
      <c r="I12" s="781"/>
    </row>
    <row r="13" spans="1:6" ht="12.75">
      <c r="A13" s="654" t="s">
        <v>41</v>
      </c>
      <c r="B13" s="655">
        <f>B7-B12</f>
        <v>89846697.68293704</v>
      </c>
      <c r="C13" s="97"/>
      <c r="D13" s="660" t="s">
        <v>146</v>
      </c>
      <c r="E13" s="877">
        <v>15441.436200000002</v>
      </c>
      <c r="F13" s="102"/>
    </row>
    <row r="14" spans="1:6" ht="12.75">
      <c r="A14" s="654"/>
      <c r="B14" s="655"/>
      <c r="C14" s="97"/>
      <c r="D14" s="660" t="s">
        <v>178</v>
      </c>
      <c r="E14" s="877">
        <v>26854.309404</v>
      </c>
      <c r="F14" s="102"/>
    </row>
    <row r="15" spans="1:8" ht="12.75">
      <c r="A15" s="652"/>
      <c r="B15" s="655"/>
      <c r="C15" s="97"/>
      <c r="D15" s="660" t="s">
        <v>5</v>
      </c>
      <c r="E15" s="877">
        <v>5851.5647</v>
      </c>
      <c r="F15" s="102"/>
      <c r="G15" s="881"/>
      <c r="H15"/>
    </row>
    <row r="16" spans="1:8" ht="12.75">
      <c r="A16" s="807" t="s">
        <v>169</v>
      </c>
      <c r="B16" s="884">
        <v>978000</v>
      </c>
      <c r="C16" s="97"/>
      <c r="D16" s="660" t="s">
        <v>148</v>
      </c>
      <c r="E16" s="877">
        <v>53639.852936999996</v>
      </c>
      <c r="F16" s="102"/>
      <c r="H16"/>
    </row>
    <row r="17" spans="1:7" ht="12.75">
      <c r="A17" s="654" t="s">
        <v>170</v>
      </c>
      <c r="B17" s="884">
        <v>200000</v>
      </c>
      <c r="C17" s="97"/>
      <c r="D17" s="660" t="s">
        <v>149</v>
      </c>
      <c r="E17" s="877">
        <v>25802.590621</v>
      </c>
      <c r="F17" s="102"/>
      <c r="G17" s="881"/>
    </row>
    <row r="18" spans="1:7" ht="12.75">
      <c r="A18" s="654" t="s">
        <v>136</v>
      </c>
      <c r="B18" s="884">
        <v>4182897.47</v>
      </c>
      <c r="C18" s="97"/>
      <c r="D18" s="660" t="s">
        <v>6</v>
      </c>
      <c r="E18" s="877">
        <v>49737.489043999994</v>
      </c>
      <c r="F18" s="102"/>
      <c r="G18" s="881"/>
    </row>
    <row r="19" spans="1:7" ht="12.75">
      <c r="A19" s="654" t="s">
        <v>212</v>
      </c>
      <c r="B19" s="884">
        <v>225000</v>
      </c>
      <c r="C19" s="97"/>
      <c r="D19" s="660" t="s">
        <v>186</v>
      </c>
      <c r="E19" s="877">
        <v>21905.276379000003</v>
      </c>
      <c r="F19" s="102"/>
      <c r="G19" s="881"/>
    </row>
    <row r="20" spans="1:7" ht="12.75">
      <c r="A20" s="959" t="s">
        <v>214</v>
      </c>
      <c r="B20" s="884">
        <v>50000</v>
      </c>
      <c r="C20" s="97"/>
      <c r="D20" s="660" t="s">
        <v>7</v>
      </c>
      <c r="E20" s="877">
        <v>15644.790894</v>
      </c>
      <c r="F20" s="102"/>
      <c r="G20" s="881"/>
    </row>
    <row r="21" spans="1:7" ht="12.75">
      <c r="A21" s="654" t="s">
        <v>213</v>
      </c>
      <c r="B21" s="884">
        <v>600000</v>
      </c>
      <c r="C21" s="97"/>
      <c r="D21" s="660" t="s">
        <v>8</v>
      </c>
      <c r="E21" s="877">
        <v>65831.537869</v>
      </c>
      <c r="F21" s="102"/>
      <c r="G21" s="881"/>
    </row>
    <row r="22" spans="1:7" ht="12.75">
      <c r="A22" s="658" t="s">
        <v>13</v>
      </c>
      <c r="B22" s="897">
        <f>+SUM(B16:B21)</f>
        <v>6235897.470000001</v>
      </c>
      <c r="C22" s="97"/>
      <c r="D22" s="660" t="s">
        <v>100</v>
      </c>
      <c r="E22" s="877">
        <v>38888.750789</v>
      </c>
      <c r="F22" s="102"/>
      <c r="G22" s="881"/>
    </row>
    <row r="23" spans="1:7" ht="12.75">
      <c r="A23" s="959"/>
      <c r="B23" s="960"/>
      <c r="C23" s="97"/>
      <c r="D23" s="660" t="s">
        <v>101</v>
      </c>
      <c r="E23" s="877">
        <v>3523.0277960000003</v>
      </c>
      <c r="F23" s="102"/>
      <c r="G23" s="881"/>
    </row>
    <row r="24" spans="1:7" ht="12.75">
      <c r="A24" s="116" t="s">
        <v>60</v>
      </c>
      <c r="B24" s="557"/>
      <c r="C24" s="97"/>
      <c r="D24" s="660" t="s">
        <v>102</v>
      </c>
      <c r="E24" s="877">
        <v>3322.2271199999996</v>
      </c>
      <c r="F24" s="102"/>
      <c r="G24" s="881"/>
    </row>
    <row r="25" spans="1:7" ht="12.75">
      <c r="A25" s="654" t="s">
        <v>29</v>
      </c>
      <c r="B25" s="655">
        <f>'Sheet 4 Fee Schedule'!I8</f>
        <v>6879384.1752</v>
      </c>
      <c r="C25" s="97"/>
      <c r="D25" s="660" t="s">
        <v>103</v>
      </c>
      <c r="E25" s="877">
        <v>20104.7683</v>
      </c>
      <c r="F25" s="102"/>
      <c r="G25" s="881"/>
    </row>
    <row r="26" spans="1:7" ht="13.5" thickBot="1">
      <c r="A26" s="657" t="s">
        <v>49</v>
      </c>
      <c r="B26" s="894">
        <v>0</v>
      </c>
      <c r="C26" s="97"/>
      <c r="D26" s="660" t="s">
        <v>88</v>
      </c>
      <c r="E26" s="877">
        <v>4102.921395</v>
      </c>
      <c r="F26" s="102"/>
      <c r="G26" s="881"/>
    </row>
    <row r="27" spans="3:7" ht="13.5" thickBot="1">
      <c r="C27" s="97"/>
      <c r="D27" s="660" t="s">
        <v>118</v>
      </c>
      <c r="E27" s="877">
        <v>78618.2682</v>
      </c>
      <c r="F27" s="102"/>
      <c r="G27" s="881"/>
    </row>
    <row r="28" spans="1:7" ht="13.5" thickBot="1">
      <c r="A28" s="955" t="s">
        <v>193</v>
      </c>
      <c r="B28" s="956">
        <f>+B7-B25-B29</f>
        <v>101306324.52221623</v>
      </c>
      <c r="D28" s="660" t="s">
        <v>53</v>
      </c>
      <c r="E28" s="877">
        <v>20958.153899999998</v>
      </c>
      <c r="F28" s="102"/>
      <c r="G28" s="881"/>
    </row>
    <row r="29" spans="1:7" ht="13.5" thickBot="1">
      <c r="A29" s="957" t="s">
        <v>194</v>
      </c>
      <c r="B29" s="958">
        <f>(B7-B25)*0.05</f>
        <v>5331911.81695875</v>
      </c>
      <c r="D29" s="895" t="s">
        <v>13</v>
      </c>
      <c r="E29" s="896">
        <f>+SUM(E6:E28)</f>
        <v>1085187.171995</v>
      </c>
      <c r="G29" s="881"/>
    </row>
    <row r="30" ht="12.75">
      <c r="G30" s="881"/>
    </row>
    <row r="31" spans="4:7" ht="12.75">
      <c r="D31"/>
      <c r="E31"/>
      <c r="F31"/>
      <c r="G31" s="881"/>
    </row>
    <row r="32" spans="4:7" ht="12.75">
      <c r="D32"/>
      <c r="G32" s="881"/>
    </row>
    <row r="33" spans="4:7" ht="12.75">
      <c r="D33"/>
      <c r="G33" s="881"/>
    </row>
    <row r="34" spans="4:7" ht="12.75">
      <c r="D34"/>
      <c r="G34" s="881"/>
    </row>
    <row r="35" spans="4:7" ht="12.75">
      <c r="D35"/>
      <c r="G35" s="881"/>
    </row>
    <row r="36" spans="4:7" ht="12.75">
      <c r="D36"/>
      <c r="G36" s="881"/>
    </row>
    <row r="37" spans="4:7" ht="12.75">
      <c r="D37"/>
      <c r="G37" s="881"/>
    </row>
    <row r="38" spans="4:7" ht="12.75">
      <c r="D38"/>
      <c r="G38" s="881"/>
    </row>
    <row r="39" spans="4:7" ht="12.75">
      <c r="D39"/>
      <c r="G39" s="881"/>
    </row>
    <row r="40" spans="4:8" ht="12.75">
      <c r="D40"/>
      <c r="G40" s="881"/>
      <c r="H40"/>
    </row>
    <row r="41" spans="4:8" ht="12.75">
      <c r="D41"/>
      <c r="G41" s="881"/>
      <c r="H41"/>
    </row>
    <row r="42" ht="12.75">
      <c r="D42"/>
    </row>
    <row r="43" ht="12.75">
      <c r="D43"/>
    </row>
    <row r="44" spans="2:4" ht="12.75">
      <c r="B44" s="296"/>
      <c r="D44"/>
    </row>
    <row r="45" ht="12.75">
      <c r="D45"/>
    </row>
    <row r="72" ht="12.75">
      <c r="D72"/>
    </row>
    <row r="73" ht="12.75">
      <c r="D73"/>
    </row>
    <row r="74" spans="4:7" ht="12.75">
      <c r="D74"/>
      <c r="E74"/>
      <c r="F74"/>
      <c r="G74"/>
    </row>
    <row r="75" spans="4:7" ht="12.75">
      <c r="D75"/>
      <c r="E75"/>
      <c r="F75"/>
      <c r="G75"/>
    </row>
    <row r="76" spans="4:7" ht="12.75">
      <c r="D76"/>
      <c r="E76"/>
      <c r="F76"/>
      <c r="G76"/>
    </row>
  </sheetData>
  <sheetProtection password="D6C3" sheet="1"/>
  <mergeCells count="2">
    <mergeCell ref="G4:H4"/>
    <mergeCell ref="A2:H2"/>
  </mergeCells>
  <printOptions/>
  <pageMargins left="0.7480314960629921" right="0.7480314960629921" top="0.984251968503937" bottom="0.984251968503937" header="0.5118110236220472" footer="0.5118110236220472"/>
  <pageSetup fitToHeight="1" fitToWidth="1" horizontalDpi="600" verticalDpi="600" orientation="landscape" scale="72" r:id="rId3"/>
  <headerFooter alignWithMargins="0">
    <oddFooter>&amp;L&amp;12Steward Fee-Setting&amp;R&amp;12Stewardship Ontario, 
July, 2013</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G43"/>
  <sheetViews>
    <sheetView showGridLines="0" zoomScale="85" zoomScaleNormal="85" zoomScalePageLayoutView="0" workbookViewId="0" topLeftCell="A1">
      <selection activeCell="B13" sqref="B13"/>
    </sheetView>
  </sheetViews>
  <sheetFormatPr defaultColWidth="9.140625" defaultRowHeight="12.75"/>
  <cols>
    <col min="1" max="1" width="36.57421875" style="2" customWidth="1"/>
    <col min="2" max="3" width="14.28125" style="2" customWidth="1"/>
    <col min="4" max="4" width="8.57421875" style="311" customWidth="1"/>
    <col min="5" max="6" width="14.28125" style="2" customWidth="1"/>
    <col min="7" max="7" width="9.00390625" style="2" customWidth="1"/>
    <col min="8" max="16384" width="9.140625" style="2" customWidth="1"/>
  </cols>
  <sheetData>
    <row r="1" spans="1:6" ht="26.25">
      <c r="A1" s="440" t="s">
        <v>99</v>
      </c>
      <c r="E1" s="99"/>
      <c r="F1" s="99"/>
    </row>
    <row r="2" ht="16.5" thickBot="1">
      <c r="A2" s="587"/>
    </row>
    <row r="3" spans="1:2" ht="16.5" customHeight="1">
      <c r="A3" s="586" t="s">
        <v>114</v>
      </c>
      <c r="B3" s="659" t="s">
        <v>96</v>
      </c>
    </row>
    <row r="4" spans="1:3" ht="16.5" customHeight="1">
      <c r="A4" s="660" t="s">
        <v>92</v>
      </c>
      <c r="B4" s="892">
        <v>35</v>
      </c>
      <c r="C4" s="587"/>
    </row>
    <row r="5" spans="1:2" ht="16.5" customHeight="1">
      <c r="A5" s="660" t="s">
        <v>93</v>
      </c>
      <c r="B5" s="892">
        <v>40</v>
      </c>
    </row>
    <row r="6" spans="1:2" ht="16.5" customHeight="1">
      <c r="A6" s="660" t="s">
        <v>94</v>
      </c>
      <c r="B6" s="892">
        <v>25</v>
      </c>
    </row>
    <row r="7" spans="1:2" ht="16.5" customHeight="1" thickBot="1">
      <c r="A7" s="661" t="s">
        <v>95</v>
      </c>
      <c r="B7" s="893">
        <v>60</v>
      </c>
    </row>
    <row r="8" spans="1:2" ht="12.75">
      <c r="A8" s="5"/>
      <c r="B8" s="786"/>
    </row>
    <row r="9" ht="13.5" thickBot="1">
      <c r="G9" s="308"/>
    </row>
    <row r="10" spans="1:7" ht="47.25" customHeight="1">
      <c r="A10" s="847" t="s">
        <v>15</v>
      </c>
      <c r="B10" s="965" t="s">
        <v>201</v>
      </c>
      <c r="C10" s="966"/>
      <c r="D10" s="849"/>
      <c r="E10" s="967" t="s">
        <v>202</v>
      </c>
      <c r="F10" s="966"/>
      <c r="G10" s="308"/>
    </row>
    <row r="11" spans="1:7" s="320" customFormat="1" ht="25.5">
      <c r="A11" s="848"/>
      <c r="B11" s="845" t="s">
        <v>137</v>
      </c>
      <c r="C11" s="766" t="s">
        <v>138</v>
      </c>
      <c r="D11" s="762"/>
      <c r="E11" s="763" t="s">
        <v>107</v>
      </c>
      <c r="F11" s="766" t="s">
        <v>108</v>
      </c>
      <c r="G11" s="663"/>
    </row>
    <row r="12" spans="1:7" ht="12.75">
      <c r="A12" s="666"/>
      <c r="B12" s="846" t="s">
        <v>58</v>
      </c>
      <c r="C12" s="105" t="s">
        <v>58</v>
      </c>
      <c r="D12" s="9"/>
      <c r="E12" s="764" t="s">
        <v>17</v>
      </c>
      <c r="F12" s="105" t="s">
        <v>17</v>
      </c>
      <c r="G12" s="308"/>
    </row>
    <row r="13" spans="1:7" ht="12.75">
      <c r="A13" s="660" t="s">
        <v>89</v>
      </c>
      <c r="B13" s="885">
        <v>198144.20567017843</v>
      </c>
      <c r="C13" s="876">
        <v>190351.41231934767</v>
      </c>
      <c r="D13" s="850"/>
      <c r="E13" s="886">
        <v>184.54976606445064</v>
      </c>
      <c r="F13" s="887">
        <v>81.54309239710177</v>
      </c>
      <c r="G13" s="308"/>
    </row>
    <row r="14" spans="1:7" ht="12.75">
      <c r="A14" s="660" t="s">
        <v>65</v>
      </c>
      <c r="B14" s="885">
        <v>130330.66731294595</v>
      </c>
      <c r="C14" s="876">
        <v>125204.90572829357</v>
      </c>
      <c r="D14" s="850"/>
      <c r="E14" s="888">
        <v>184.54976606445064</v>
      </c>
      <c r="F14" s="887">
        <v>81.54309239710177</v>
      </c>
      <c r="G14" s="308"/>
    </row>
    <row r="15" spans="1:7" ht="12.75">
      <c r="A15" s="660" t="s">
        <v>3</v>
      </c>
      <c r="B15" s="885">
        <v>72503.81167035918</v>
      </c>
      <c r="C15" s="876">
        <v>63467.67520632979</v>
      </c>
      <c r="D15" s="850"/>
      <c r="E15" s="888">
        <v>184.54976606445064</v>
      </c>
      <c r="F15" s="887">
        <v>81.54309239710177</v>
      </c>
      <c r="G15" s="308"/>
    </row>
    <row r="16" spans="1:7" ht="12.75">
      <c r="A16" s="660" t="s">
        <v>1</v>
      </c>
      <c r="B16" s="885">
        <v>7519.259861079164</v>
      </c>
      <c r="C16" s="876">
        <v>7208.0403979945095</v>
      </c>
      <c r="D16" s="850"/>
      <c r="E16" s="888">
        <v>203.4121277956883</v>
      </c>
      <c r="F16" s="887">
        <v>84.31956106629144</v>
      </c>
      <c r="G16" s="879"/>
    </row>
    <row r="17" spans="1:7" ht="12.75">
      <c r="A17" s="660" t="s">
        <v>2</v>
      </c>
      <c r="B17" s="885">
        <v>122002.44413722055</v>
      </c>
      <c r="C17" s="876">
        <v>64370.101658016916</v>
      </c>
      <c r="D17" s="850"/>
      <c r="E17" s="888">
        <v>197.3744955918701</v>
      </c>
      <c r="F17" s="887">
        <v>81.77081229932534</v>
      </c>
      <c r="G17" s="308"/>
    </row>
    <row r="18" spans="1:7" ht="12.75">
      <c r="A18" s="660"/>
      <c r="B18" s="885"/>
      <c r="C18" s="876"/>
      <c r="D18" s="850"/>
      <c r="E18" s="888"/>
      <c r="F18" s="887"/>
      <c r="G18" s="308"/>
    </row>
    <row r="19" spans="1:7" ht="12.75">
      <c r="A19" s="660" t="s">
        <v>145</v>
      </c>
      <c r="B19" s="885">
        <v>153120.88578564007</v>
      </c>
      <c r="C19" s="876">
        <v>142303.58324633702</v>
      </c>
      <c r="D19" s="850"/>
      <c r="E19" s="888">
        <v>478.9807053054713</v>
      </c>
      <c r="F19" s="887">
        <v>108.69477115934878</v>
      </c>
      <c r="G19" s="868"/>
    </row>
    <row r="20" spans="1:7" ht="12.75">
      <c r="A20" s="660" t="s">
        <v>147</v>
      </c>
      <c r="B20" s="885">
        <v>160258.18964700634</v>
      </c>
      <c r="C20" s="876">
        <v>77270.8160713792</v>
      </c>
      <c r="D20" s="850"/>
      <c r="E20" s="888">
        <v>295.60507766096873</v>
      </c>
      <c r="F20" s="887">
        <v>85.33779721347442</v>
      </c>
      <c r="G20" s="308"/>
    </row>
    <row r="21" spans="1:7" ht="12.75">
      <c r="A21" s="660" t="s">
        <v>146</v>
      </c>
      <c r="B21" s="885">
        <v>15635.263892863972</v>
      </c>
      <c r="C21" s="876">
        <v>7733.747820664159</v>
      </c>
      <c r="D21" s="850"/>
      <c r="E21" s="888">
        <v>1162.9787444852047</v>
      </c>
      <c r="F21" s="887">
        <v>89.89886465534276</v>
      </c>
      <c r="G21" s="308"/>
    </row>
    <row r="22" spans="1:7" ht="12.75">
      <c r="A22" s="660" t="s">
        <v>178</v>
      </c>
      <c r="B22" s="885">
        <v>41633.429792470655</v>
      </c>
      <c r="C22" s="876">
        <v>2383.6439515879733</v>
      </c>
      <c r="D22" s="850"/>
      <c r="E22" s="888">
        <v>1008.9820237550588</v>
      </c>
      <c r="F22" s="887">
        <v>0</v>
      </c>
      <c r="G22" s="308"/>
    </row>
    <row r="23" spans="1:7" ht="12.75">
      <c r="A23" s="660" t="s">
        <v>5</v>
      </c>
      <c r="B23" s="885">
        <v>5862.374214243772</v>
      </c>
      <c r="C23" s="876">
        <v>1120.7361373798642</v>
      </c>
      <c r="D23" s="850"/>
      <c r="E23" s="888">
        <v>1008.9820237550588</v>
      </c>
      <c r="F23" s="887">
        <v>88.53964010727763</v>
      </c>
      <c r="G23" s="308"/>
    </row>
    <row r="24" spans="1:7" ht="12.75">
      <c r="A24" s="660"/>
      <c r="B24" s="885"/>
      <c r="C24" s="876"/>
      <c r="D24" s="850"/>
      <c r="E24" s="888"/>
      <c r="F24" s="887"/>
      <c r="G24" s="308"/>
    </row>
    <row r="25" spans="1:7" ht="12.75">
      <c r="A25" s="660" t="s">
        <v>148</v>
      </c>
      <c r="B25" s="885">
        <v>55103.38638422786</v>
      </c>
      <c r="C25" s="876">
        <v>32417.546587897956</v>
      </c>
      <c r="D25" s="850"/>
      <c r="E25" s="888">
        <v>1309.5132345696593</v>
      </c>
      <c r="F25" s="887">
        <v>415.9567331069417</v>
      </c>
      <c r="G25" s="308"/>
    </row>
    <row r="26" spans="1:7" ht="12.75">
      <c r="A26" s="660" t="s">
        <v>149</v>
      </c>
      <c r="B26" s="885">
        <v>27134.212890308838</v>
      </c>
      <c r="C26" s="876">
        <v>15494.097551877097</v>
      </c>
      <c r="D26" s="850"/>
      <c r="E26" s="888">
        <v>1216.841937055583</v>
      </c>
      <c r="F26" s="887">
        <v>514.1883364152729</v>
      </c>
      <c r="G26" s="308"/>
    </row>
    <row r="27" spans="1:7" ht="12.75">
      <c r="A27" s="660" t="s">
        <v>6</v>
      </c>
      <c r="B27" s="885">
        <v>56156.238660545736</v>
      </c>
      <c r="C27" s="876">
        <v>4033.412461592335</v>
      </c>
      <c r="D27" s="850"/>
      <c r="E27" s="888">
        <v>2138.917343443317</v>
      </c>
      <c r="F27" s="887">
        <v>31.242948614193185</v>
      </c>
      <c r="G27" s="308"/>
    </row>
    <row r="28" spans="1:7" ht="12.75">
      <c r="A28" s="660" t="s">
        <v>186</v>
      </c>
      <c r="B28" s="885">
        <v>35637.35392083717</v>
      </c>
      <c r="C28" s="876">
        <v>600.475386107308</v>
      </c>
      <c r="D28" s="850"/>
      <c r="E28" s="888">
        <v>2121.1426023172203</v>
      </c>
      <c r="F28" s="887">
        <v>0</v>
      </c>
      <c r="G28" s="308"/>
    </row>
    <row r="29" spans="1:7" ht="12" customHeight="1">
      <c r="A29" s="660" t="s">
        <v>7</v>
      </c>
      <c r="B29" s="885">
        <v>22739.090551122306</v>
      </c>
      <c r="C29" s="876">
        <v>1284.205064025022</v>
      </c>
      <c r="D29" s="850"/>
      <c r="E29" s="888">
        <v>1571.2967070498394</v>
      </c>
      <c r="F29" s="887">
        <v>86.98894692150012</v>
      </c>
      <c r="G29" s="308"/>
    </row>
    <row r="30" spans="1:7" ht="12" customHeight="1">
      <c r="A30" s="660" t="s">
        <v>8</v>
      </c>
      <c r="B30" s="885">
        <v>83480.32638377535</v>
      </c>
      <c r="C30" s="876">
        <v>29709.751615693618</v>
      </c>
      <c r="D30" s="850"/>
      <c r="E30" s="888">
        <v>1375.032190080741</v>
      </c>
      <c r="F30" s="887">
        <v>178.3377329942903</v>
      </c>
      <c r="G30" s="308"/>
    </row>
    <row r="31" spans="1:7" ht="12.75">
      <c r="A31" s="660"/>
      <c r="B31" s="885"/>
      <c r="C31" s="876"/>
      <c r="D31" s="850"/>
      <c r="E31" s="888"/>
      <c r="F31" s="887"/>
      <c r="G31" s="308"/>
    </row>
    <row r="32" spans="1:7" ht="12.75">
      <c r="A32" s="660" t="s">
        <v>100</v>
      </c>
      <c r="B32" s="885">
        <v>42418.99085617825</v>
      </c>
      <c r="C32" s="876">
        <v>29610.61796211721</v>
      </c>
      <c r="D32" s="850"/>
      <c r="E32" s="888">
        <v>357.3514324403655</v>
      </c>
      <c r="F32" s="887">
        <v>258.05254630739034</v>
      </c>
      <c r="G32" s="308"/>
    </row>
    <row r="33" spans="1:7" ht="12.75">
      <c r="A33" s="660" t="s">
        <v>101</v>
      </c>
      <c r="B33" s="885">
        <v>3758.331690993968</v>
      </c>
      <c r="C33" s="876">
        <v>923.9068842706253</v>
      </c>
      <c r="D33" s="850"/>
      <c r="E33" s="888">
        <v>357.3514324403655</v>
      </c>
      <c r="F33" s="887">
        <v>258.05254630739034</v>
      </c>
      <c r="G33" s="308"/>
    </row>
    <row r="34" spans="1:7" ht="12.75">
      <c r="A34" s="660" t="s">
        <v>102</v>
      </c>
      <c r="B34" s="885">
        <v>4828.991233995136</v>
      </c>
      <c r="C34" s="876">
        <v>456.3513258262222</v>
      </c>
      <c r="D34" s="850"/>
      <c r="E34" s="888">
        <v>357.3514324403655</v>
      </c>
      <c r="F34" s="887">
        <v>258.05254630739034</v>
      </c>
      <c r="G34" s="308"/>
    </row>
    <row r="35" spans="1:7" ht="12.75">
      <c r="A35" s="660"/>
      <c r="B35" s="885"/>
      <c r="C35" s="876"/>
      <c r="D35" s="850"/>
      <c r="E35" s="888"/>
      <c r="F35" s="887"/>
      <c r="G35" s="308"/>
    </row>
    <row r="36" spans="1:7" ht="12.75">
      <c r="A36" s="660" t="s">
        <v>103</v>
      </c>
      <c r="B36" s="885">
        <v>22680.284969786695</v>
      </c>
      <c r="C36" s="876">
        <v>10323.419476813682</v>
      </c>
      <c r="D36" s="850"/>
      <c r="E36" s="888">
        <v>1125.474677856689</v>
      </c>
      <c r="F36" s="887">
        <v>1378.2822319018503</v>
      </c>
      <c r="G36" s="308"/>
    </row>
    <row r="37" spans="1:7" ht="12.75">
      <c r="A37" s="660" t="s">
        <v>88</v>
      </c>
      <c r="B37" s="885">
        <v>4066.339895</v>
      </c>
      <c r="C37" s="876">
        <v>275.89662678538355</v>
      </c>
      <c r="D37" s="850"/>
      <c r="E37" s="888">
        <v>1125.474677856689</v>
      </c>
      <c r="F37" s="887">
        <v>1378.2822319018503</v>
      </c>
      <c r="G37" s="308"/>
    </row>
    <row r="38" spans="1:7" ht="12.75">
      <c r="A38" s="660"/>
      <c r="B38" s="885"/>
      <c r="C38" s="876"/>
      <c r="D38" s="850"/>
      <c r="E38" s="888"/>
      <c r="F38" s="887"/>
      <c r="G38" s="308"/>
    </row>
    <row r="39" spans="1:7" ht="12.75">
      <c r="A39" s="660" t="s">
        <v>118</v>
      </c>
      <c r="B39" s="885">
        <v>78933.148</v>
      </c>
      <c r="C39" s="876">
        <v>71380.10694648845</v>
      </c>
      <c r="D39" s="851"/>
      <c r="E39" s="888">
        <v>142.52353607195957</v>
      </c>
      <c r="F39" s="887">
        <v>17.675898641366874</v>
      </c>
      <c r="G39" s="308"/>
    </row>
    <row r="40" spans="1:7" ht="12.75">
      <c r="A40" s="660" t="s">
        <v>53</v>
      </c>
      <c r="B40" s="885">
        <v>24213.153021062088</v>
      </c>
      <c r="C40" s="876">
        <v>22210.094309491345</v>
      </c>
      <c r="D40" s="851"/>
      <c r="E40" s="888">
        <v>133.48318563423877</v>
      </c>
      <c r="F40" s="887">
        <v>15.539879347332754</v>
      </c>
      <c r="G40" s="308"/>
    </row>
    <row r="41" spans="1:7" ht="12.75">
      <c r="A41" s="660"/>
      <c r="B41" s="862"/>
      <c r="C41" s="853"/>
      <c r="E41" s="765"/>
      <c r="F41" s="788"/>
      <c r="G41" s="308"/>
    </row>
    <row r="42" spans="1:6" s="3" customFormat="1" ht="13.5" thickBot="1">
      <c r="A42" s="275" t="s">
        <v>13</v>
      </c>
      <c r="B42" s="898">
        <f>+SUM(B13:B40)</f>
        <v>1368160.3804418414</v>
      </c>
      <c r="C42" s="899">
        <f>+SUM(C13:C40)</f>
        <v>900134.544736317</v>
      </c>
      <c r="D42" s="900"/>
      <c r="E42" s="901"/>
      <c r="F42" s="902"/>
    </row>
    <row r="43" ht="12.75">
      <c r="G43" s="308"/>
    </row>
  </sheetData>
  <sheetProtection password="D6C3" sheet="1"/>
  <mergeCells count="2">
    <mergeCell ref="B10:C10"/>
    <mergeCell ref="E10:F10"/>
  </mergeCells>
  <printOptions/>
  <pageMargins left="0.7480314960629921" right="0.7480314960629921" top="0.984251968503937" bottom="0.984251968503937" header="0.5118110236220472" footer="0.5118110236220472"/>
  <pageSetup fitToHeight="1" fitToWidth="1" horizontalDpi="600" verticalDpi="600" orientation="landscape" scale="78" r:id="rId1"/>
  <headerFooter alignWithMargins="0">
    <oddFooter>&amp;L&amp;12Steward Fee-Setting&amp;R&amp;12Stewardship Ontario, 
July, 2013</oddFooter>
  </headerFooter>
</worksheet>
</file>

<file path=xl/worksheets/sheet3.xml><?xml version="1.0" encoding="utf-8"?>
<worksheet xmlns="http://schemas.openxmlformats.org/spreadsheetml/2006/main" xmlns:r="http://schemas.openxmlformats.org/officeDocument/2006/relationships">
  <sheetPr codeName="Sheet5">
    <tabColor indexed="58"/>
    <pageSetUpPr fitToPage="1"/>
  </sheetPr>
  <dimension ref="A1:V100"/>
  <sheetViews>
    <sheetView showGridLines="0" zoomScale="85" zoomScaleNormal="85" zoomScalePageLayoutView="0" workbookViewId="0" topLeftCell="A1">
      <pane xSplit="2" ySplit="5" topLeftCell="C6" activePane="bottomRight" state="frozen"/>
      <selection pane="topLeft" activeCell="A10" sqref="A10:C20"/>
      <selection pane="topRight" activeCell="A10" sqref="A10:C20"/>
      <selection pane="bottomLeft" activeCell="A10" sqref="A10:C20"/>
      <selection pane="bottomRight" activeCell="C6" sqref="C6"/>
    </sheetView>
  </sheetViews>
  <sheetFormatPr defaultColWidth="9.140625" defaultRowHeight="12.75"/>
  <cols>
    <col min="1" max="1" width="23.00390625" style="2" customWidth="1"/>
    <col min="2" max="2" width="30.00390625" style="2" customWidth="1"/>
    <col min="3" max="3" width="11.8515625" style="366" customWidth="1"/>
    <col min="4" max="4" width="10.57421875" style="366" customWidth="1"/>
    <col min="5" max="5" width="10.421875" style="2" customWidth="1"/>
    <col min="6" max="6" width="9.8515625" style="97" customWidth="1"/>
    <col min="7" max="7" width="1.57421875" style="2" customWidth="1"/>
    <col min="8" max="8" width="11.8515625" style="364" customWidth="1"/>
    <col min="9" max="9" width="10.421875" style="97" customWidth="1"/>
    <col min="10" max="10" width="8.140625" style="97" customWidth="1"/>
    <col min="11" max="11" width="9.140625" style="2" customWidth="1"/>
    <col min="12" max="12" width="13.7109375" style="2" bestFit="1" customWidth="1"/>
    <col min="13" max="13" width="8.57421875" style="364" customWidth="1"/>
    <col min="14" max="14" width="7.7109375" style="364" customWidth="1"/>
    <col min="15" max="15" width="9.28125" style="2" customWidth="1"/>
    <col min="16" max="16" width="6.57421875" style="304" customWidth="1"/>
    <col min="17" max="17" width="7.00390625" style="2" customWidth="1"/>
    <col min="18" max="18" width="12.28125" style="2" customWidth="1"/>
    <col min="19" max="19" width="9.140625" style="2" customWidth="1"/>
    <col min="20" max="20" width="7.57421875" style="364" customWidth="1"/>
    <col min="21" max="21" width="6.7109375" style="311" customWidth="1"/>
    <col min="22" max="22" width="7.421875" style="385" customWidth="1"/>
    <col min="23" max="23" width="6.28125" style="2" customWidth="1"/>
    <col min="24" max="16384" width="9.140625" style="2" customWidth="1"/>
  </cols>
  <sheetData>
    <row r="1" spans="1:20" ht="25.5" customHeight="1">
      <c r="A1" s="440" t="s">
        <v>66</v>
      </c>
      <c r="C1" s="1"/>
      <c r="D1" s="1"/>
      <c r="E1" s="1"/>
      <c r="F1" s="1"/>
      <c r="H1" s="308"/>
      <c r="M1" s="308"/>
      <c r="N1" s="308"/>
      <c r="T1" s="308"/>
    </row>
    <row r="2" spans="1:20" ht="16.5" customHeight="1" thickBot="1">
      <c r="A2" s="975"/>
      <c r="B2" s="975"/>
      <c r="C2" s="975"/>
      <c r="D2" s="975"/>
      <c r="E2" s="975"/>
      <c r="F2" s="975"/>
      <c r="G2" s="975"/>
      <c r="H2" s="975"/>
      <c r="I2" s="975"/>
      <c r="J2" s="309"/>
      <c r="L2" s="304"/>
      <c r="M2" s="308"/>
      <c r="N2" s="308"/>
      <c r="T2" s="308"/>
    </row>
    <row r="3" spans="1:22" ht="12.75">
      <c r="A3" s="310"/>
      <c r="B3" s="446"/>
      <c r="C3" s="968">
        <v>2013</v>
      </c>
      <c r="D3" s="969"/>
      <c r="E3" s="969"/>
      <c r="F3" s="969"/>
      <c r="G3" s="969"/>
      <c r="H3" s="969"/>
      <c r="I3" s="970"/>
      <c r="J3" s="9"/>
      <c r="K3" s="454" t="s">
        <v>113</v>
      </c>
      <c r="L3" s="455"/>
      <c r="M3" s="610"/>
      <c r="N3" s="610"/>
      <c r="O3" s="456"/>
      <c r="P3" s="2"/>
      <c r="Q3" s="411"/>
      <c r="T3" s="2"/>
      <c r="U3" s="2"/>
      <c r="V3" s="2"/>
    </row>
    <row r="4" spans="1:17" s="320" customFormat="1" ht="38.25">
      <c r="A4" s="312" t="s">
        <v>19</v>
      </c>
      <c r="B4" s="313" t="s">
        <v>15</v>
      </c>
      <c r="C4" s="314" t="s">
        <v>64</v>
      </c>
      <c r="D4" s="314" t="s">
        <v>68</v>
      </c>
      <c r="E4" s="315" t="s">
        <v>69</v>
      </c>
      <c r="F4" s="316" t="s">
        <v>27</v>
      </c>
      <c r="G4" s="316"/>
      <c r="H4" s="317" t="s">
        <v>70</v>
      </c>
      <c r="I4" s="318" t="s">
        <v>71</v>
      </c>
      <c r="J4" s="319"/>
      <c r="K4" s="457" t="s">
        <v>50</v>
      </c>
      <c r="L4" s="452" t="s">
        <v>51</v>
      </c>
      <c r="M4" s="972" t="s">
        <v>90</v>
      </c>
      <c r="N4" s="973"/>
      <c r="O4" s="974"/>
      <c r="Q4" s="412"/>
    </row>
    <row r="5" spans="1:22" ht="12.75" customHeight="1">
      <c r="A5" s="103"/>
      <c r="B5" s="321"/>
      <c r="C5" s="322" t="s">
        <v>58</v>
      </c>
      <c r="D5" s="104"/>
      <c r="E5" s="322" t="s">
        <v>58</v>
      </c>
      <c r="F5" s="323"/>
      <c r="G5" s="324"/>
      <c r="H5" s="322" t="s">
        <v>58</v>
      </c>
      <c r="I5" s="105"/>
      <c r="J5" s="9"/>
      <c r="K5" s="458" t="s">
        <v>56</v>
      </c>
      <c r="L5" s="328" t="s">
        <v>55</v>
      </c>
      <c r="M5" s="611"/>
      <c r="N5" s="612"/>
      <c r="O5" s="584"/>
      <c r="P5" s="2"/>
      <c r="T5" s="2"/>
      <c r="U5" s="2"/>
      <c r="V5" s="2"/>
    </row>
    <row r="6" spans="1:15" s="3" customFormat="1" ht="15.75">
      <c r="A6" s="10" t="s">
        <v>34</v>
      </c>
      <c r="B6" s="11"/>
      <c r="C6" s="13"/>
      <c r="D6" s="12"/>
      <c r="E6" s="14"/>
      <c r="F6" s="325"/>
      <c r="G6" s="325"/>
      <c r="H6" s="326"/>
      <c r="I6" s="327"/>
      <c r="J6" s="299"/>
      <c r="K6" s="116"/>
      <c r="L6" s="4"/>
      <c r="M6" s="613"/>
      <c r="N6" s="613"/>
      <c r="O6" s="459"/>
    </row>
    <row r="7" spans="1:16" s="3" customFormat="1" ht="15" customHeight="1">
      <c r="A7" s="329"/>
      <c r="B7" s="444" t="s">
        <v>89</v>
      </c>
      <c r="C7" s="494">
        <f>Inputs!B13</f>
        <v>198144.20567017843</v>
      </c>
      <c r="D7" s="672">
        <f aca="true" t="shared" si="0" ref="D7:D12">C7/C$41</f>
        <v>0.14482527670198184</v>
      </c>
      <c r="E7" s="745">
        <f>Inputs!C13</f>
        <v>190351.41231934767</v>
      </c>
      <c r="F7" s="672">
        <f>IF(C7=0,0,E7/C7)</f>
        <v>0.9606711015117834</v>
      </c>
      <c r="G7" s="330"/>
      <c r="H7" s="746">
        <f>C7-E7</f>
        <v>7792.7933508307615</v>
      </c>
      <c r="I7" s="747">
        <f aca="true" t="shared" si="1" ref="I7:I12">H7/H$41</f>
        <v>0.01665034866949926</v>
      </c>
      <c r="J7" s="331"/>
      <c r="K7" s="903">
        <v>148.9764634012268</v>
      </c>
      <c r="L7" s="332">
        <f>C7*1000/K7</f>
        <v>1330036.9813218883</v>
      </c>
      <c r="M7" s="805">
        <f>(C7/$C$12*$L$44+L7/$L$12*$L$45)*$M$12</f>
        <v>0.0601700711765272</v>
      </c>
      <c r="N7" s="615"/>
      <c r="O7" s="327">
        <f aca="true" t="shared" si="2" ref="O7:O36">M7+N7</f>
        <v>0.0601700711765272</v>
      </c>
      <c r="P7" s="889"/>
    </row>
    <row r="8" spans="1:16" s="3" customFormat="1" ht="15" customHeight="1">
      <c r="A8" s="334"/>
      <c r="B8" s="445" t="s">
        <v>65</v>
      </c>
      <c r="C8" s="748">
        <f>Inputs!B14</f>
        <v>130330.66731294595</v>
      </c>
      <c r="D8" s="749">
        <f t="shared" si="0"/>
        <v>0.09525978765066727</v>
      </c>
      <c r="E8" s="750">
        <f>Inputs!C14</f>
        <v>125204.90572829357</v>
      </c>
      <c r="F8" s="749">
        <f>IF(C8=0,0,E8/C8)</f>
        <v>0.9606711015117834</v>
      </c>
      <c r="G8" s="335"/>
      <c r="H8" s="751">
        <f>C8-E8</f>
        <v>5125.761584652384</v>
      </c>
      <c r="I8" s="752">
        <f t="shared" si="1"/>
        <v>0.010951877425581784</v>
      </c>
      <c r="J8" s="331"/>
      <c r="K8" s="903">
        <v>148.9764634012268</v>
      </c>
      <c r="L8" s="332">
        <f>C8*1000/K8</f>
        <v>874840.6582987303</v>
      </c>
      <c r="M8" s="805">
        <f>(C8/$C$12*$L$44+L8/$L$12*$L$45)*$M$12</f>
        <v>0.03957726395369683</v>
      </c>
      <c r="N8" s="615"/>
      <c r="O8" s="327">
        <f t="shared" si="2"/>
        <v>0.03957726395369683</v>
      </c>
      <c r="P8" s="889"/>
    </row>
    <row r="9" spans="1:22" ht="15" customHeight="1">
      <c r="A9" s="22"/>
      <c r="B9" s="26" t="s">
        <v>3</v>
      </c>
      <c r="C9" s="748">
        <f>Inputs!B15</f>
        <v>72503.81167035918</v>
      </c>
      <c r="D9" s="749">
        <f t="shared" si="0"/>
        <v>0.052993649506898007</v>
      </c>
      <c r="E9" s="750">
        <f>Inputs!C15</f>
        <v>63467.67520632979</v>
      </c>
      <c r="F9" s="749">
        <f>IF(C9=0,0,E9/C9)</f>
        <v>0.8753701873618388</v>
      </c>
      <c r="G9" s="335"/>
      <c r="H9" s="336">
        <f>C9-E9</f>
        <v>9036.13646402939</v>
      </c>
      <c r="I9" s="337">
        <f t="shared" si="1"/>
        <v>0.019306918068759782</v>
      </c>
      <c r="J9" s="338"/>
      <c r="K9" s="903">
        <v>270.9709890822746</v>
      </c>
      <c r="L9" s="332">
        <f>C9*1000/K9</f>
        <v>267570.3842537362</v>
      </c>
      <c r="M9" s="805">
        <f>(C9/$C$12*$L$44+L9/$L$12*$L$45)*$M$12</f>
        <v>0.01603431856357134</v>
      </c>
      <c r="N9" s="614"/>
      <c r="O9" s="327">
        <f t="shared" si="2"/>
        <v>0.01603431856357134</v>
      </c>
      <c r="P9" s="889"/>
      <c r="Q9" s="3"/>
      <c r="T9" s="2"/>
      <c r="U9" s="2"/>
      <c r="V9" s="2"/>
    </row>
    <row r="10" spans="1:22" ht="15" customHeight="1">
      <c r="A10" s="27"/>
      <c r="B10" s="28" t="s">
        <v>1</v>
      </c>
      <c r="C10" s="748">
        <f>Inputs!B16</f>
        <v>7519.259861079164</v>
      </c>
      <c r="D10" s="749">
        <f t="shared" si="0"/>
        <v>0.005495890663527949</v>
      </c>
      <c r="E10" s="750">
        <f>Inputs!C16</f>
        <v>7208.0403979945095</v>
      </c>
      <c r="F10" s="749">
        <f>IF(C10=0,0,E10/C10)</f>
        <v>0.9586103594190735</v>
      </c>
      <c r="G10" s="335"/>
      <c r="H10" s="336">
        <f>C10-E10</f>
        <v>311.2194630846543</v>
      </c>
      <c r="I10" s="337">
        <f t="shared" si="1"/>
        <v>0.0006649621438429936</v>
      </c>
      <c r="J10" s="338"/>
      <c r="K10" s="903">
        <v>270.9709890822746</v>
      </c>
      <c r="L10" s="332">
        <f>C10*1000/K10</f>
        <v>27749.31695287904</v>
      </c>
      <c r="M10" s="805">
        <f>(C10/$C$12*$L$44+L10/$L$12*$L$45)*$M$12</f>
        <v>0.0016628947526645427</v>
      </c>
      <c r="N10" s="614"/>
      <c r="O10" s="327">
        <f t="shared" si="2"/>
        <v>0.0016628947526645427</v>
      </c>
      <c r="P10" s="889"/>
      <c r="Q10" s="3"/>
      <c r="T10" s="2"/>
      <c r="U10" s="2"/>
      <c r="V10" s="2"/>
    </row>
    <row r="11" spans="1:22" ht="15" customHeight="1">
      <c r="A11" s="29"/>
      <c r="B11" s="30" t="s">
        <v>2</v>
      </c>
      <c r="C11" s="753">
        <f>Inputs!B17</f>
        <v>122002.44413722055</v>
      </c>
      <c r="D11" s="754">
        <f t="shared" si="0"/>
        <v>0.08917261885468455</v>
      </c>
      <c r="E11" s="755">
        <f>Inputs!C17</f>
        <v>64370.101658016916</v>
      </c>
      <c r="F11" s="754">
        <f>IF(C11=0,0,E11/C11)</f>
        <v>0.527613213925596</v>
      </c>
      <c r="G11" s="756"/>
      <c r="H11" s="757">
        <f>C11-E11</f>
        <v>57632.34247920363</v>
      </c>
      <c r="I11" s="758">
        <f t="shared" si="1"/>
        <v>0.12313923309880077</v>
      </c>
      <c r="J11" s="338"/>
      <c r="K11" s="903">
        <v>121.01429781082403</v>
      </c>
      <c r="L11" s="332">
        <f>C11*1000/K11</f>
        <v>1008165.5336953757</v>
      </c>
      <c r="M11" s="805">
        <f>(C11/$C$12*$L$44+L11/$L$12*$L$45)*$M$12</f>
        <v>0.04221511121319978</v>
      </c>
      <c r="N11" s="614"/>
      <c r="O11" s="327">
        <f t="shared" si="2"/>
        <v>0.04221511121319978</v>
      </c>
      <c r="P11" s="889"/>
      <c r="Q11" s="3"/>
      <c r="T11" s="2"/>
      <c r="U11" s="2"/>
      <c r="V11" s="2"/>
    </row>
    <row r="12" spans="1:15" s="3" customFormat="1" ht="15" customHeight="1" thickBot="1">
      <c r="A12" s="31" t="s">
        <v>25</v>
      </c>
      <c r="B12" s="32"/>
      <c r="C12" s="33">
        <f>SUM(C7:C11)</f>
        <v>530500.3886517832</v>
      </c>
      <c r="D12" s="673">
        <f t="shared" si="0"/>
        <v>0.3877472233777596</v>
      </c>
      <c r="E12" s="34">
        <f>SUM(E7:E11)</f>
        <v>450602.13530998246</v>
      </c>
      <c r="F12" s="667">
        <f>E12/C12</f>
        <v>0.8493907732191212</v>
      </c>
      <c r="G12" s="339"/>
      <c r="H12" s="340">
        <f>SUM(H7:H11)</f>
        <v>79898.25334180082</v>
      </c>
      <c r="I12" s="341">
        <f t="shared" si="1"/>
        <v>0.17071333940648462</v>
      </c>
      <c r="J12" s="342"/>
      <c r="K12" s="904"/>
      <c r="L12" s="453">
        <f>SUM(L7:L11)</f>
        <v>3508362.874522609</v>
      </c>
      <c r="M12" s="806">
        <f>Parameters!H6</f>
        <v>0.15965965965965967</v>
      </c>
      <c r="N12" s="617"/>
      <c r="O12" s="460"/>
    </row>
    <row r="13" spans="1:15" s="55" customFormat="1" ht="5.25" customHeight="1" thickBot="1">
      <c r="A13" s="43"/>
      <c r="B13" s="44"/>
      <c r="C13" s="46"/>
      <c r="D13" s="668"/>
      <c r="E13" s="47"/>
      <c r="F13" s="668"/>
      <c r="G13" s="45"/>
      <c r="H13" s="46"/>
      <c r="I13" s="195"/>
      <c r="J13" s="343"/>
      <c r="K13" s="905"/>
      <c r="L13" s="344"/>
      <c r="M13" s="618"/>
      <c r="N13" s="619"/>
      <c r="O13" s="462"/>
    </row>
    <row r="14" spans="1:15" s="3" customFormat="1" ht="15" customHeight="1">
      <c r="A14" s="345" t="s">
        <v>33</v>
      </c>
      <c r="B14" s="346"/>
      <c r="C14" s="447"/>
      <c r="D14" s="674"/>
      <c r="E14" s="448"/>
      <c r="F14" s="669"/>
      <c r="G14" s="212"/>
      <c r="H14" s="347"/>
      <c r="I14" s="213"/>
      <c r="J14" s="342"/>
      <c r="K14" s="906"/>
      <c r="L14" s="348"/>
      <c r="M14" s="620"/>
      <c r="N14" s="621"/>
      <c r="O14" s="464"/>
    </row>
    <row r="15" spans="1:22" ht="15" customHeight="1">
      <c r="A15" s="22" t="s">
        <v>48</v>
      </c>
      <c r="B15" s="26" t="s">
        <v>145</v>
      </c>
      <c r="C15" s="494">
        <f>Inputs!B19</f>
        <v>153120.88578564007</v>
      </c>
      <c r="D15" s="672">
        <f aca="true" t="shared" si="3" ref="D15:D37">C15/C$41</f>
        <v>0.11191735119254831</v>
      </c>
      <c r="E15" s="759">
        <f>Inputs!C19</f>
        <v>142303.58324633702</v>
      </c>
      <c r="F15" s="672">
        <f>IF(C15=0,0,E15/C15)</f>
        <v>0.9293544934526657</v>
      </c>
      <c r="G15" s="330"/>
      <c r="H15" s="353">
        <f>C15-E15</f>
        <v>10817.302539303055</v>
      </c>
      <c r="I15" s="354">
        <f aca="true" t="shared" si="4" ref="I15:I37">H15/H$41</f>
        <v>0.02311261839423145</v>
      </c>
      <c r="J15" s="338"/>
      <c r="K15" s="903">
        <v>54.70575049401819</v>
      </c>
      <c r="L15" s="332">
        <f>C15*1000/K15</f>
        <v>2798990.6801915294</v>
      </c>
      <c r="M15" s="622"/>
      <c r="N15" s="614">
        <f>(C15/$C$20*$L$44+L15/$L$20*$L$45)*$N$20</f>
        <v>0.09604254031541552</v>
      </c>
      <c r="O15" s="327">
        <f>M15+N15</f>
        <v>0.09604254031541552</v>
      </c>
      <c r="P15" s="889"/>
      <c r="Q15" s="55"/>
      <c r="T15" s="2"/>
      <c r="U15" s="2"/>
      <c r="V15" s="2"/>
    </row>
    <row r="16" spans="1:22" ht="15" customHeight="1">
      <c r="A16" s="27"/>
      <c r="B16" s="28" t="s">
        <v>147</v>
      </c>
      <c r="C16" s="748">
        <f>Inputs!B20</f>
        <v>160258.18964700634</v>
      </c>
      <c r="D16" s="749">
        <f t="shared" si="3"/>
        <v>0.11713406698361756</v>
      </c>
      <c r="E16" s="760">
        <f>Inputs!C20</f>
        <v>77270.8160713792</v>
      </c>
      <c r="F16" s="749">
        <f>IF(C16=0,0,E16/C16)</f>
        <v>0.48216453862096054</v>
      </c>
      <c r="G16" s="335"/>
      <c r="H16" s="336">
        <f>C16-E16</f>
        <v>82987.37357562713</v>
      </c>
      <c r="I16" s="337">
        <f t="shared" si="4"/>
        <v>0.1773136592994444</v>
      </c>
      <c r="J16" s="338"/>
      <c r="K16" s="903">
        <v>53.456410378998854</v>
      </c>
      <c r="L16" s="332">
        <f>C16*1000/K16</f>
        <v>2997922.7656851076</v>
      </c>
      <c r="M16" s="622"/>
      <c r="N16" s="614">
        <f>(C16/$C$20*$L$44+L16/$L$20*$L$45)*$N$20</f>
        <v>0.10186547978758372</v>
      </c>
      <c r="O16" s="327">
        <f>M16+N16</f>
        <v>0.10186547978758372</v>
      </c>
      <c r="P16" s="889"/>
      <c r="Q16" s="3"/>
      <c r="T16" s="2"/>
      <c r="U16" s="2"/>
      <c r="V16" s="2"/>
    </row>
    <row r="17" spans="1:22" ht="15" customHeight="1">
      <c r="A17" s="27"/>
      <c r="B17" s="28" t="s">
        <v>146</v>
      </c>
      <c r="C17" s="748">
        <f>Inputs!B21</f>
        <v>15635.263892863972</v>
      </c>
      <c r="D17" s="749">
        <f t="shared" si="3"/>
        <v>0.011427946691318917</v>
      </c>
      <c r="E17" s="760">
        <f>Inputs!C21</f>
        <v>7733.747820664159</v>
      </c>
      <c r="F17" s="749">
        <f>IF(C17=0,0,E17/C17)</f>
        <v>0.49463494020039456</v>
      </c>
      <c r="G17" s="335"/>
      <c r="H17" s="336">
        <f>C17-E17</f>
        <v>7901.516072199813</v>
      </c>
      <c r="I17" s="337">
        <f t="shared" si="4"/>
        <v>0.016882649352655262</v>
      </c>
      <c r="J17" s="338"/>
      <c r="K17" s="903">
        <v>33.30571563048849</v>
      </c>
      <c r="L17" s="332">
        <f>C17*1000/K17</f>
        <v>469446.86810906546</v>
      </c>
      <c r="M17" s="622"/>
      <c r="N17" s="614">
        <f>(C17/$C$20*$L$44+L17/$L$20*$L$45)*$N$20</f>
        <v>0.013417766451452835</v>
      </c>
      <c r="O17" s="327">
        <f t="shared" si="2"/>
        <v>0.013417766451452835</v>
      </c>
      <c r="P17" s="889"/>
      <c r="Q17" s="3"/>
      <c r="T17" s="2"/>
      <c r="U17" s="2"/>
      <c r="V17" s="2"/>
    </row>
    <row r="18" spans="1:22" ht="15" customHeight="1">
      <c r="A18" s="27"/>
      <c r="B18" s="28" t="s">
        <v>178</v>
      </c>
      <c r="C18" s="748">
        <f>Inputs!B22</f>
        <v>41633.429792470655</v>
      </c>
      <c r="D18" s="749">
        <f t="shared" si="3"/>
        <v>0.030430226154499022</v>
      </c>
      <c r="E18" s="760">
        <f>Inputs!C22</f>
        <v>2383.6439515879733</v>
      </c>
      <c r="F18" s="749">
        <f>IF(C18=0,0,E18/C18)</f>
        <v>0.0572531247958594</v>
      </c>
      <c r="G18" s="335"/>
      <c r="H18" s="336">
        <f>C18-E18</f>
        <v>39249.78584088268</v>
      </c>
      <c r="I18" s="337">
        <f t="shared" si="4"/>
        <v>0.08386243417890739</v>
      </c>
      <c r="J18" s="338"/>
      <c r="K18" s="903">
        <v>33.30571563048849</v>
      </c>
      <c r="L18" s="332">
        <f>C18*1000/K18</f>
        <v>1250038.5896034872</v>
      </c>
      <c r="M18" s="622"/>
      <c r="N18" s="614">
        <f>(C18/$C$20*$L$44+L18/$L$20*$L$45)*$N$20</f>
        <v>0.03572869900733115</v>
      </c>
      <c r="O18" s="327">
        <f t="shared" si="2"/>
        <v>0.03572869900733115</v>
      </c>
      <c r="P18" s="889"/>
      <c r="Q18" s="3"/>
      <c r="T18" s="2"/>
      <c r="U18" s="2"/>
      <c r="V18" s="2"/>
    </row>
    <row r="19" spans="1:22" ht="15" customHeight="1">
      <c r="A19" s="29"/>
      <c r="B19" s="30" t="s">
        <v>5</v>
      </c>
      <c r="C19" s="748">
        <f>Inputs!B23</f>
        <v>5862.374214243772</v>
      </c>
      <c r="D19" s="749">
        <f t="shared" si="3"/>
        <v>0.004284858923009117</v>
      </c>
      <c r="E19" s="760">
        <f>Inputs!C23</f>
        <v>1120.7361373798642</v>
      </c>
      <c r="F19" s="749">
        <f>IF(C19=0,0,E19/C19)</f>
        <v>0.1911744451005565</v>
      </c>
      <c r="G19" s="335"/>
      <c r="H19" s="336">
        <f>C19-E19</f>
        <v>4741.638076863908</v>
      </c>
      <c r="I19" s="337">
        <f t="shared" si="4"/>
        <v>0.010131146007604763</v>
      </c>
      <c r="J19" s="338"/>
      <c r="K19" s="903">
        <v>33.30571563048849</v>
      </c>
      <c r="L19" s="332">
        <f>C19*1000/K19</f>
        <v>176017.0620347601</v>
      </c>
      <c r="M19" s="622"/>
      <c r="N19" s="614">
        <f>(C19/$C$20*$L$44+L19/$L$20*$L$45)*$N$20</f>
        <v>0.005030933190302156</v>
      </c>
      <c r="O19" s="327">
        <f t="shared" si="2"/>
        <v>0.005030933190302156</v>
      </c>
      <c r="P19" s="889"/>
      <c r="Q19" s="3"/>
      <c r="T19" s="2"/>
      <c r="U19" s="2"/>
      <c r="V19" s="2"/>
    </row>
    <row r="20" spans="1:15" s="3" customFormat="1" ht="15" customHeight="1">
      <c r="A20" s="65" t="s">
        <v>32</v>
      </c>
      <c r="B20" s="11"/>
      <c r="C20" s="13">
        <f>SUM(C15:C19)</f>
        <v>376510.14333222486</v>
      </c>
      <c r="D20" s="675">
        <f t="shared" si="3"/>
        <v>0.275194449944993</v>
      </c>
      <c r="E20" s="14">
        <f>SUM(E15:E19)</f>
        <v>230812.5272273482</v>
      </c>
      <c r="F20" s="670">
        <f>E20/C20</f>
        <v>0.6130313653294699</v>
      </c>
      <c r="G20" s="349"/>
      <c r="H20" s="350">
        <f>SUM(H15:H19)</f>
        <v>145697.6161048766</v>
      </c>
      <c r="I20" s="351">
        <f t="shared" si="4"/>
        <v>0.3113025072328433</v>
      </c>
      <c r="J20" s="342"/>
      <c r="K20" s="907"/>
      <c r="L20" s="352">
        <f>SUM(L15:L19)</f>
        <v>7692415.96562395</v>
      </c>
      <c r="M20" s="623"/>
      <c r="N20" s="616">
        <f>Parameters!H7</f>
        <v>0.2520854187520854</v>
      </c>
      <c r="O20" s="466"/>
    </row>
    <row r="21" spans="1:22" ht="15" customHeight="1">
      <c r="A21" s="22" t="s">
        <v>43</v>
      </c>
      <c r="B21" s="26" t="s">
        <v>148</v>
      </c>
      <c r="C21" s="494">
        <f>Inputs!B25</f>
        <v>55103.38638422786</v>
      </c>
      <c r="D21" s="672">
        <f t="shared" si="3"/>
        <v>0.0402755314157193</v>
      </c>
      <c r="E21" s="759">
        <f>Inputs!C25</f>
        <v>32417.546587897956</v>
      </c>
      <c r="F21" s="672">
        <f aca="true" t="shared" si="5" ref="F21:F26">IF(C21=0,0,E21/C21)</f>
        <v>0.5883040719467791</v>
      </c>
      <c r="G21" s="330"/>
      <c r="H21" s="353">
        <f aca="true" t="shared" si="6" ref="H21:H26">C21-E21</f>
        <v>22685.839796329903</v>
      </c>
      <c r="I21" s="354">
        <f t="shared" si="4"/>
        <v>0.048471340822739364</v>
      </c>
      <c r="J21" s="338"/>
      <c r="K21" s="903">
        <v>26.401565971007688</v>
      </c>
      <c r="L21" s="332">
        <f aca="true" t="shared" si="7" ref="L21:L26">C21*1000/K21</f>
        <v>2087125.6820424385</v>
      </c>
      <c r="M21" s="622"/>
      <c r="N21" s="614">
        <f aca="true" t="shared" si="8" ref="N21:N26">(C21/$C$27*$L$44+L21/$L$27*$L$45)*$N$27</f>
        <v>0.07159617417772392</v>
      </c>
      <c r="O21" s="327">
        <f t="shared" si="2"/>
        <v>0.07159617417772392</v>
      </c>
      <c r="P21" s="889"/>
      <c r="Q21" s="3"/>
      <c r="T21" s="2"/>
      <c r="U21" s="2"/>
      <c r="V21" s="2"/>
    </row>
    <row r="22" spans="1:22" ht="15" customHeight="1">
      <c r="A22" s="27"/>
      <c r="B22" s="28" t="s">
        <v>149</v>
      </c>
      <c r="C22" s="748">
        <f>Inputs!B26</f>
        <v>27134.212890308838</v>
      </c>
      <c r="D22" s="749">
        <f t="shared" si="3"/>
        <v>0.01983262582238053</v>
      </c>
      <c r="E22" s="760">
        <f>Inputs!C26</f>
        <v>15494.097551877097</v>
      </c>
      <c r="F22" s="749">
        <f t="shared" si="5"/>
        <v>0.5710170261622336</v>
      </c>
      <c r="G22" s="335"/>
      <c r="H22" s="336">
        <f t="shared" si="6"/>
        <v>11640.11533843174</v>
      </c>
      <c r="I22" s="337">
        <f t="shared" si="4"/>
        <v>0.024870668348649753</v>
      </c>
      <c r="J22" s="338"/>
      <c r="K22" s="903">
        <v>33.064048642739884</v>
      </c>
      <c r="L22" s="332">
        <f t="shared" si="7"/>
        <v>820656.0903504748</v>
      </c>
      <c r="M22" s="622"/>
      <c r="N22" s="614">
        <f t="shared" si="8"/>
        <v>0.03141163674955947</v>
      </c>
      <c r="O22" s="327">
        <f t="shared" si="2"/>
        <v>0.03141163674955947</v>
      </c>
      <c r="P22" s="889"/>
      <c r="Q22" s="3"/>
      <c r="T22" s="2"/>
      <c r="U22" s="2"/>
      <c r="V22" s="2"/>
    </row>
    <row r="23" spans="1:22" ht="15" customHeight="1">
      <c r="A23" s="27"/>
      <c r="B23" s="28" t="s">
        <v>6</v>
      </c>
      <c r="C23" s="748">
        <f>Inputs!B27</f>
        <v>56156.238660545736</v>
      </c>
      <c r="D23" s="749">
        <f t="shared" si="3"/>
        <v>0.04104507005414842</v>
      </c>
      <c r="E23" s="760">
        <f>Inputs!C27</f>
        <v>4033.412461592335</v>
      </c>
      <c r="F23" s="749">
        <f t="shared" si="5"/>
        <v>0.07182483296243505</v>
      </c>
      <c r="G23" s="335"/>
      <c r="H23" s="336">
        <f t="shared" si="6"/>
        <v>52122.8261989534</v>
      </c>
      <c r="I23" s="337">
        <f t="shared" si="4"/>
        <v>0.11136741227197629</v>
      </c>
      <c r="J23" s="338"/>
      <c r="K23" s="903">
        <v>13.350085732580956</v>
      </c>
      <c r="L23" s="332">
        <f t="shared" si="7"/>
        <v>4206432.811401064</v>
      </c>
      <c r="M23" s="622"/>
      <c r="N23" s="614">
        <f t="shared" si="8"/>
        <v>0.11156186501060535</v>
      </c>
      <c r="O23" s="327">
        <f t="shared" si="2"/>
        <v>0.11156186501060535</v>
      </c>
      <c r="P23" s="889"/>
      <c r="Q23" s="3"/>
      <c r="T23" s="2"/>
      <c r="U23" s="2"/>
      <c r="V23" s="2"/>
    </row>
    <row r="24" spans="1:22" ht="15" customHeight="1">
      <c r="A24" s="27"/>
      <c r="B24" s="28" t="s">
        <v>186</v>
      </c>
      <c r="C24" s="748">
        <f>Inputs!B28</f>
        <v>35637.35392083717</v>
      </c>
      <c r="D24" s="749">
        <f t="shared" si="3"/>
        <v>0.02604764355866543</v>
      </c>
      <c r="E24" s="760">
        <f>Inputs!C28</f>
        <v>600.475386107308</v>
      </c>
      <c r="F24" s="749">
        <f t="shared" si="5"/>
        <v>0.016849606383267695</v>
      </c>
      <c r="G24" s="335"/>
      <c r="H24" s="336">
        <f t="shared" si="6"/>
        <v>35036.87853472986</v>
      </c>
      <c r="I24" s="337">
        <f t="shared" si="4"/>
        <v>0.07486099241062961</v>
      </c>
      <c r="J24" s="338"/>
      <c r="K24" s="903">
        <v>28.172759984956194</v>
      </c>
      <c r="L24" s="332">
        <f t="shared" si="7"/>
        <v>1264957.8507702814</v>
      </c>
      <c r="M24" s="622"/>
      <c r="N24" s="614">
        <f t="shared" si="8"/>
        <v>0.04472865712829663</v>
      </c>
      <c r="O24" s="327">
        <f t="shared" si="2"/>
        <v>0.04472865712829663</v>
      </c>
      <c r="P24" s="889"/>
      <c r="Q24" s="3"/>
      <c r="T24" s="2"/>
      <c r="U24" s="2"/>
      <c r="V24" s="2"/>
    </row>
    <row r="25" spans="1:22" ht="15" customHeight="1">
      <c r="A25" s="27"/>
      <c r="B25" s="28" t="s">
        <v>7</v>
      </c>
      <c r="C25" s="748">
        <f>Inputs!B29</f>
        <v>22739.090551122306</v>
      </c>
      <c r="D25" s="749">
        <f t="shared" si="3"/>
        <v>0.016620193711338736</v>
      </c>
      <c r="E25" s="760">
        <f>Inputs!C29</f>
        <v>1284.205064025022</v>
      </c>
      <c r="F25" s="749">
        <f t="shared" si="5"/>
        <v>0.056475656365317525</v>
      </c>
      <c r="G25" s="335"/>
      <c r="H25" s="336">
        <f t="shared" si="6"/>
        <v>21454.885487097283</v>
      </c>
      <c r="I25" s="337">
        <f t="shared" si="4"/>
        <v>0.04584124176554305</v>
      </c>
      <c r="J25" s="338"/>
      <c r="K25" s="903">
        <v>10.520907993191663</v>
      </c>
      <c r="L25" s="332">
        <f t="shared" si="7"/>
        <v>2161323.9623269523</v>
      </c>
      <c r="M25" s="622"/>
      <c r="N25" s="614">
        <f t="shared" si="8"/>
        <v>0.05367609189271258</v>
      </c>
      <c r="O25" s="327">
        <f t="shared" si="2"/>
        <v>0.05367609189271258</v>
      </c>
      <c r="P25" s="889"/>
      <c r="Q25" s="3"/>
      <c r="T25" s="2"/>
      <c r="U25" s="2"/>
      <c r="V25" s="2"/>
    </row>
    <row r="26" spans="1:22" ht="15" customHeight="1">
      <c r="A26" s="29"/>
      <c r="B26" s="30" t="s">
        <v>8</v>
      </c>
      <c r="C26" s="753">
        <f>Inputs!B30</f>
        <v>83480.32638377535</v>
      </c>
      <c r="D26" s="754">
        <f t="shared" si="3"/>
        <v>0.061016476998709566</v>
      </c>
      <c r="E26" s="761">
        <f>Inputs!C30</f>
        <v>29709.751615693618</v>
      </c>
      <c r="F26" s="754">
        <f t="shared" si="5"/>
        <v>0.35588926041223284</v>
      </c>
      <c r="G26" s="756"/>
      <c r="H26" s="757">
        <f t="shared" si="6"/>
        <v>53770.57476808173</v>
      </c>
      <c r="I26" s="758">
        <f t="shared" si="4"/>
        <v>0.1148880481929494</v>
      </c>
      <c r="J26" s="338"/>
      <c r="K26" s="903">
        <v>28.172759984956194</v>
      </c>
      <c r="L26" s="332">
        <f t="shared" si="7"/>
        <v>2963157.547515846</v>
      </c>
      <c r="M26" s="622"/>
      <c r="N26" s="614">
        <f t="shared" si="8"/>
        <v>0.10477665945885316</v>
      </c>
      <c r="O26" s="327">
        <f t="shared" si="2"/>
        <v>0.10477665945885316</v>
      </c>
      <c r="P26" s="889"/>
      <c r="Q26" s="3"/>
      <c r="T26" s="2"/>
      <c r="U26" s="2"/>
      <c r="V26" s="2"/>
    </row>
    <row r="27" spans="1:15" s="3" customFormat="1" ht="15" customHeight="1">
      <c r="A27" s="65" t="s">
        <v>22</v>
      </c>
      <c r="B27" s="11"/>
      <c r="C27" s="13">
        <f>SUM(C21:C26)</f>
        <v>280250.60879081726</v>
      </c>
      <c r="D27" s="675">
        <f t="shared" si="3"/>
        <v>0.20483754156096198</v>
      </c>
      <c r="E27" s="14">
        <f>SUM(E21:E26)</f>
        <v>83539.48866719333</v>
      </c>
      <c r="F27" s="670">
        <f>E27/C27</f>
        <v>0.29808851808614023</v>
      </c>
      <c r="G27" s="349"/>
      <c r="H27" s="350">
        <f>SUM(H21:H26)</f>
        <v>196711.12012362393</v>
      </c>
      <c r="I27" s="351">
        <f t="shared" si="4"/>
        <v>0.4202997038124875</v>
      </c>
      <c r="J27" s="342"/>
      <c r="K27" s="907"/>
      <c r="L27" s="352">
        <f>SUM(L21:L26)</f>
        <v>13503653.944407057</v>
      </c>
      <c r="M27" s="623"/>
      <c r="N27" s="624">
        <f>Parameters!H8</f>
        <v>0.4177510844177511</v>
      </c>
      <c r="O27" s="466"/>
    </row>
    <row r="28" spans="1:22" ht="15" customHeight="1">
      <c r="A28" s="22" t="s">
        <v>44</v>
      </c>
      <c r="B28" s="26" t="s">
        <v>100</v>
      </c>
      <c r="C28" s="494">
        <f>Inputs!B32</f>
        <v>42418.99085617825</v>
      </c>
      <c r="D28" s="672">
        <f t="shared" si="3"/>
        <v>0.031004399383703262</v>
      </c>
      <c r="E28" s="759">
        <f>Inputs!C32</f>
        <v>29610.61796211721</v>
      </c>
      <c r="F28" s="672">
        <f>IF(C28=0,0,E28/C28)</f>
        <v>0.6980509758591882</v>
      </c>
      <c r="G28" s="330"/>
      <c r="H28" s="353">
        <f>C28-E28</f>
        <v>12808.372894061042</v>
      </c>
      <c r="I28" s="354">
        <f t="shared" si="4"/>
        <v>0.027366807378812936</v>
      </c>
      <c r="J28" s="338"/>
      <c r="K28" s="903">
        <v>82.52478975528314</v>
      </c>
      <c r="L28" s="332">
        <f>C28*1000/K28</f>
        <v>514015.13390057004</v>
      </c>
      <c r="M28" s="622"/>
      <c r="N28" s="614">
        <f>(C28/$C$31*$L$44+L28/$L$31*$L$45)*$N$31</f>
        <v>0.04717355138563227</v>
      </c>
      <c r="O28" s="327">
        <f t="shared" si="2"/>
        <v>0.04717355138563227</v>
      </c>
      <c r="P28" s="889"/>
      <c r="Q28" s="3"/>
      <c r="T28" s="2"/>
      <c r="U28" s="2"/>
      <c r="V28" s="2"/>
    </row>
    <row r="29" spans="1:22" ht="15" customHeight="1">
      <c r="A29" s="27"/>
      <c r="B29" s="28" t="s">
        <v>101</v>
      </c>
      <c r="C29" s="748">
        <f>Inputs!B33</f>
        <v>3758.331690993968</v>
      </c>
      <c r="D29" s="749">
        <f t="shared" si="3"/>
        <v>0.0027469964374938496</v>
      </c>
      <c r="E29" s="760">
        <f>Inputs!C33</f>
        <v>923.9068842706253</v>
      </c>
      <c r="F29" s="749">
        <f>IF(C29=0,0,E29/C29)</f>
        <v>0.2458289901566083</v>
      </c>
      <c r="G29" s="335"/>
      <c r="H29" s="336">
        <f>C29-E29</f>
        <v>2834.424806723343</v>
      </c>
      <c r="I29" s="337">
        <f t="shared" si="4"/>
        <v>0.006056128936665633</v>
      </c>
      <c r="J29" s="338"/>
      <c r="K29" s="903">
        <v>82.52478975528314</v>
      </c>
      <c r="L29" s="332">
        <f>C29*1000/K29</f>
        <v>45541.85114725923</v>
      </c>
      <c r="M29" s="622"/>
      <c r="N29" s="614">
        <f>(C29/$C$31*$L$44+L29/$L$31*$L$45)*$N$31</f>
        <v>0.0041795867740104815</v>
      </c>
      <c r="O29" s="327">
        <f t="shared" si="2"/>
        <v>0.0041795867740104815</v>
      </c>
      <c r="P29" s="889"/>
      <c r="Q29" s="3"/>
      <c r="T29" s="2"/>
      <c r="U29" s="2"/>
      <c r="V29" s="2"/>
    </row>
    <row r="30" spans="1:22" ht="15" customHeight="1">
      <c r="A30" s="29"/>
      <c r="B30" s="30" t="s">
        <v>102</v>
      </c>
      <c r="C30" s="753">
        <f>Inputs!B34</f>
        <v>4828.991233995136</v>
      </c>
      <c r="D30" s="754">
        <f t="shared" si="3"/>
        <v>0.003529550557834188</v>
      </c>
      <c r="E30" s="761">
        <f>Inputs!C34</f>
        <v>456.3513258262222</v>
      </c>
      <c r="F30" s="754">
        <f>IF(C30=0,0,E30/C30)</f>
        <v>0.09450241338472512</v>
      </c>
      <c r="G30" s="756"/>
      <c r="H30" s="757">
        <f>C30-E30</f>
        <v>4372.639908168914</v>
      </c>
      <c r="I30" s="758">
        <f t="shared" si="4"/>
        <v>0.00934273190619357</v>
      </c>
      <c r="J30" s="338"/>
      <c r="K30" s="903">
        <v>82.52478975528314</v>
      </c>
      <c r="L30" s="332">
        <f>C30*1000/K30</f>
        <v>58515.64418782406</v>
      </c>
      <c r="M30" s="622"/>
      <c r="N30" s="614">
        <f>(C30/$C$31*$L$44+L30/$L$31*$L$45)*$N$31</f>
        <v>0.005370251897080634</v>
      </c>
      <c r="O30" s="327">
        <f t="shared" si="2"/>
        <v>0.005370251897080634</v>
      </c>
      <c r="P30" s="889"/>
      <c r="Q30" s="3"/>
      <c r="T30" s="2"/>
      <c r="U30" s="2"/>
      <c r="V30" s="2"/>
    </row>
    <row r="31" spans="1:15" s="3" customFormat="1" ht="15" customHeight="1">
      <c r="A31" s="65" t="s">
        <v>47</v>
      </c>
      <c r="B31" s="11"/>
      <c r="C31" s="13">
        <f>SUM(C28:C30)</f>
        <v>51006.31378116735</v>
      </c>
      <c r="D31" s="675">
        <f t="shared" si="3"/>
        <v>0.037280946379031295</v>
      </c>
      <c r="E31" s="14">
        <f>SUM(E28:E30)</f>
        <v>30990.876172214055</v>
      </c>
      <c r="F31" s="670">
        <f>E31/C31</f>
        <v>0.6075890193746282</v>
      </c>
      <c r="G31" s="349"/>
      <c r="H31" s="350">
        <f>SUM(H28:H30)</f>
        <v>20015.437608953296</v>
      </c>
      <c r="I31" s="351">
        <f t="shared" si="4"/>
        <v>0.04276566822167213</v>
      </c>
      <c r="J31" s="342"/>
      <c r="K31" s="907"/>
      <c r="L31" s="352">
        <f>SUM(L28:L30)</f>
        <v>618072.6292356533</v>
      </c>
      <c r="M31" s="623"/>
      <c r="N31" s="624">
        <f>Parameters!H9</f>
        <v>0.05672339005672339</v>
      </c>
      <c r="O31" s="466"/>
    </row>
    <row r="32" spans="1:22" ht="15" customHeight="1">
      <c r="A32" s="22" t="s">
        <v>45</v>
      </c>
      <c r="B32" s="26" t="s">
        <v>103</v>
      </c>
      <c r="C32" s="494">
        <f>Inputs!B36</f>
        <v>22680.284969786695</v>
      </c>
      <c r="D32" s="672">
        <f t="shared" si="3"/>
        <v>0.01657721221430356</v>
      </c>
      <c r="E32" s="759">
        <f>Inputs!C36</f>
        <v>10323.419476813682</v>
      </c>
      <c r="F32" s="672">
        <f>IF(C32=0,0,E32/C32)</f>
        <v>0.455171506467662</v>
      </c>
      <c r="G32" s="330"/>
      <c r="H32" s="353">
        <f>C32-E32</f>
        <v>12356.865492973013</v>
      </c>
      <c r="I32" s="354">
        <f t="shared" si="4"/>
        <v>0.02640210123089825</v>
      </c>
      <c r="J32" s="338"/>
      <c r="K32" s="903">
        <v>35.456505287191824</v>
      </c>
      <c r="L32" s="332">
        <f>C32*1000/K32</f>
        <v>639664.9863284647</v>
      </c>
      <c r="M32" s="622"/>
      <c r="N32" s="614">
        <f>(C32/$C$34*$L$44+L32/$L$34*$L$45)*$N$34</f>
        <v>0.05163636313284549</v>
      </c>
      <c r="O32" s="327">
        <f t="shared" si="2"/>
        <v>0.05163636313284549</v>
      </c>
      <c r="P32" s="889"/>
      <c r="Q32" s="3"/>
      <c r="T32" s="2"/>
      <c r="U32" s="2"/>
      <c r="V32" s="2"/>
    </row>
    <row r="33" spans="1:22" ht="15" customHeight="1">
      <c r="A33" s="29"/>
      <c r="B33" s="30" t="s">
        <v>88</v>
      </c>
      <c r="C33" s="753">
        <f>Inputs!B37</f>
        <v>4066.339895</v>
      </c>
      <c r="D33" s="754">
        <f t="shared" si="3"/>
        <v>0.002972122240293783</v>
      </c>
      <c r="E33" s="761">
        <f>Inputs!C37</f>
        <v>275.89662678538355</v>
      </c>
      <c r="F33" s="754">
        <f>IF(C33=0,0,E33/C33)</f>
        <v>0.06784888472422779</v>
      </c>
      <c r="G33" s="756"/>
      <c r="H33" s="757">
        <f>C33-E33</f>
        <v>3790.4432682146166</v>
      </c>
      <c r="I33" s="758">
        <f t="shared" si="4"/>
        <v>0.00809879066291441</v>
      </c>
      <c r="J33" s="338"/>
      <c r="K33" s="903">
        <v>35.456505287191824</v>
      </c>
      <c r="L33" s="332">
        <f>C33*1000/K33</f>
        <v>114685.29856688695</v>
      </c>
      <c r="M33" s="622"/>
      <c r="N33" s="614">
        <f>(C33/$C$34*$L$44+L33/$L$34*$L$45)*$N$34</f>
        <v>0.009257864428048742</v>
      </c>
      <c r="O33" s="327">
        <f t="shared" si="2"/>
        <v>0.009257864428048742</v>
      </c>
      <c r="P33" s="889"/>
      <c r="Q33" s="3"/>
      <c r="T33" s="2"/>
      <c r="U33" s="2"/>
      <c r="V33" s="2"/>
    </row>
    <row r="34" spans="1:15" s="3" customFormat="1" ht="15" customHeight="1">
      <c r="A34" s="65" t="s">
        <v>23</v>
      </c>
      <c r="B34" s="11"/>
      <c r="C34" s="13">
        <f>SUM(C32:C33)</f>
        <v>26746.624864786696</v>
      </c>
      <c r="D34" s="675">
        <f t="shared" si="3"/>
        <v>0.01954933445459734</v>
      </c>
      <c r="E34" s="14">
        <f>SUM(E32:E33)</f>
        <v>10599.316103599065</v>
      </c>
      <c r="F34" s="670">
        <f>E34/C34</f>
        <v>0.39628611674116715</v>
      </c>
      <c r="G34" s="349"/>
      <c r="H34" s="350">
        <f>SUM(H32:H33)</f>
        <v>16147.308761187629</v>
      </c>
      <c r="I34" s="351">
        <f t="shared" si="4"/>
        <v>0.03450089189381266</v>
      </c>
      <c r="J34" s="342"/>
      <c r="K34" s="907"/>
      <c r="L34" s="352">
        <f>SUM(L32:L33)</f>
        <v>754350.2848953516</v>
      </c>
      <c r="M34" s="623"/>
      <c r="N34" s="624">
        <f>Parameters!H10</f>
        <v>0.06089422756089423</v>
      </c>
      <c r="O34" s="466"/>
    </row>
    <row r="35" spans="1:22" ht="15" customHeight="1">
      <c r="A35" s="22" t="s">
        <v>10</v>
      </c>
      <c r="B35" s="26" t="s">
        <v>118</v>
      </c>
      <c r="C35" s="494">
        <f>Inputs!B39</f>
        <v>78933.148</v>
      </c>
      <c r="D35" s="672">
        <f t="shared" si="3"/>
        <v>0.057692905837917106</v>
      </c>
      <c r="E35" s="759">
        <f>Inputs!C39</f>
        <v>71380.10694648845</v>
      </c>
      <c r="F35" s="672">
        <f>IF(C35=0,0,E35/C35)</f>
        <v>0.9043109106264006</v>
      </c>
      <c r="G35" s="330"/>
      <c r="H35" s="353">
        <f>C35-E35</f>
        <v>7553.041053511552</v>
      </c>
      <c r="I35" s="354">
        <f t="shared" si="4"/>
        <v>0.01613808571513095</v>
      </c>
      <c r="J35" s="338"/>
      <c r="K35" s="903">
        <v>316.4016391941392</v>
      </c>
      <c r="L35" s="332">
        <f>C35*1000/K35</f>
        <v>249471.36241468025</v>
      </c>
      <c r="M35" s="622"/>
      <c r="N35" s="614">
        <f>(C35/$C$37*$L$44+L35/$L$37*$L$45)*$N$37</f>
        <v>0.0404730963794476</v>
      </c>
      <c r="O35" s="327">
        <f t="shared" si="2"/>
        <v>0.0404730963794476</v>
      </c>
      <c r="P35" s="889"/>
      <c r="Q35" s="3"/>
      <c r="T35" s="2"/>
      <c r="U35" s="2"/>
      <c r="V35" s="2"/>
    </row>
    <row r="36" spans="1:22" ht="15" customHeight="1">
      <c r="A36" s="27"/>
      <c r="B36" s="28" t="s">
        <v>53</v>
      </c>
      <c r="C36" s="748">
        <f>Inputs!B40</f>
        <v>24213.153021062088</v>
      </c>
      <c r="D36" s="749">
        <f t="shared" si="3"/>
        <v>0.017697598444739757</v>
      </c>
      <c r="E36" s="760">
        <f>Inputs!C40</f>
        <v>22210.094309491345</v>
      </c>
      <c r="F36" s="749">
        <f>IF(C36=0,0,E36/C36)</f>
        <v>0.9172739415709983</v>
      </c>
      <c r="G36" s="335"/>
      <c r="H36" s="336">
        <f>C36-E36</f>
        <v>2003.0587115707422</v>
      </c>
      <c r="I36" s="337">
        <f t="shared" si="4"/>
        <v>0.004279803717568786</v>
      </c>
      <c r="J36" s="338"/>
      <c r="K36" s="903">
        <v>316.49550366300366</v>
      </c>
      <c r="L36" s="332">
        <f>C36*1000/K36</f>
        <v>76503.93999544346</v>
      </c>
      <c r="M36" s="622"/>
      <c r="N36" s="614">
        <f>(C36/$C$37*$L$44+L36/$L$37*$L$45)*$N$37</f>
        <v>0.01241312317343863</v>
      </c>
      <c r="O36" s="327">
        <f t="shared" si="2"/>
        <v>0.01241312317343863</v>
      </c>
      <c r="P36" s="889"/>
      <c r="Q36" s="3"/>
      <c r="T36" s="2"/>
      <c r="U36" s="2"/>
      <c r="V36" s="2"/>
    </row>
    <row r="37" spans="1:15" s="3" customFormat="1" ht="15" customHeight="1" thickBot="1">
      <c r="A37" s="65" t="s">
        <v>24</v>
      </c>
      <c r="B37" s="11"/>
      <c r="C37" s="13">
        <f>SUM(C35:C36)</f>
        <v>103146.30102106209</v>
      </c>
      <c r="D37" s="675">
        <f t="shared" si="3"/>
        <v>0.07539050428265685</v>
      </c>
      <c r="E37" s="14">
        <f>SUM(E35:E36)</f>
        <v>93590.2012559798</v>
      </c>
      <c r="F37" s="670">
        <f>E37/C37</f>
        <v>0.9073539266994076</v>
      </c>
      <c r="G37" s="349"/>
      <c r="H37" s="350">
        <f>SUM(H35:H36)</f>
        <v>9556.099765082294</v>
      </c>
      <c r="I37" s="351">
        <f t="shared" si="4"/>
        <v>0.020417889432699735</v>
      </c>
      <c r="J37" s="342"/>
      <c r="K37" s="465"/>
      <c r="L37" s="352">
        <f>SUM(L35:L36)</f>
        <v>325975.3024101237</v>
      </c>
      <c r="M37" s="623"/>
      <c r="N37" s="624">
        <f>Parameters!H11</f>
        <v>0.05288621955288622</v>
      </c>
      <c r="O37" s="233"/>
    </row>
    <row r="38" spans="1:15" s="55" customFormat="1" ht="6" customHeight="1" thickBot="1">
      <c r="A38" s="68"/>
      <c r="B38" s="69"/>
      <c r="C38" s="355"/>
      <c r="D38" s="676"/>
      <c r="E38" s="356"/>
      <c r="F38" s="671"/>
      <c r="G38" s="70"/>
      <c r="H38" s="355"/>
      <c r="I38" s="77"/>
      <c r="J38" s="342"/>
      <c r="K38" s="461"/>
      <c r="L38" s="344"/>
      <c r="M38" s="618"/>
      <c r="N38" s="619"/>
      <c r="O38" s="462"/>
    </row>
    <row r="39" spans="1:15" s="3" customFormat="1" ht="15" customHeight="1" thickBot="1">
      <c r="A39" s="79" t="s">
        <v>35</v>
      </c>
      <c r="B39" s="80"/>
      <c r="C39" s="357">
        <f>C41-C12</f>
        <v>837659.9917900582</v>
      </c>
      <c r="D39" s="677">
        <f>C39/C$41</f>
        <v>0.6122527766222404</v>
      </c>
      <c r="E39" s="358">
        <f>E41-E12</f>
        <v>449532.40942633443</v>
      </c>
      <c r="F39" s="670">
        <f>E39/C39</f>
        <v>0.5366525963185792</v>
      </c>
      <c r="G39" s="359"/>
      <c r="H39" s="357">
        <f>H41-H12</f>
        <v>388127.5823637238</v>
      </c>
      <c r="I39" s="41">
        <f>H39/H$41</f>
        <v>0.8292866605935154</v>
      </c>
      <c r="J39" s="342"/>
      <c r="K39" s="463"/>
      <c r="L39" s="909">
        <f>+L37+L34+L31+L27+L20</f>
        <v>22894468.126572136</v>
      </c>
      <c r="M39" s="620"/>
      <c r="N39" s="621"/>
      <c r="O39" s="464"/>
    </row>
    <row r="40" spans="1:15" s="55" customFormat="1" ht="6.75" customHeight="1" thickBot="1">
      <c r="A40" s="68"/>
      <c r="B40" s="69"/>
      <c r="C40" s="355"/>
      <c r="D40" s="676"/>
      <c r="E40" s="356"/>
      <c r="F40" s="671"/>
      <c r="G40" s="120"/>
      <c r="H40" s="360"/>
      <c r="I40" s="121"/>
      <c r="J40" s="343"/>
      <c r="K40" s="461"/>
      <c r="L40" s="344"/>
      <c r="M40" s="618"/>
      <c r="N40" s="619"/>
      <c r="O40" s="462"/>
    </row>
    <row r="41" spans="1:15" s="3" customFormat="1" ht="15" customHeight="1" thickBot="1">
      <c r="A41" s="361" t="s">
        <v>26</v>
      </c>
      <c r="B41" s="32"/>
      <c r="C41" s="33">
        <f>C12+C20+C27+C31+C34+C37</f>
        <v>1368160.3804418414</v>
      </c>
      <c r="D41" s="673">
        <f>C41/C$41</f>
        <v>1</v>
      </c>
      <c r="E41" s="362">
        <f>E12+E20+E27+E31+E34+E37</f>
        <v>900134.5447363169</v>
      </c>
      <c r="F41" s="667">
        <f>E41/C41</f>
        <v>0.657915956055987</v>
      </c>
      <c r="G41" s="339"/>
      <c r="H41" s="340">
        <f>H12+H20+H27+H31+H34+H37</f>
        <v>468025.8357055246</v>
      </c>
      <c r="I41" s="341">
        <f>H41/$H41</f>
        <v>1</v>
      </c>
      <c r="J41" s="342"/>
      <c r="K41" s="467"/>
      <c r="L41" s="468">
        <f>+L39+L12</f>
        <v>26402831.001094744</v>
      </c>
      <c r="M41" s="625"/>
      <c r="N41" s="625"/>
      <c r="O41" s="585">
        <f>SUM(O7:O36)</f>
        <v>1.0000000000000002</v>
      </c>
    </row>
    <row r="42" spans="2:19" ht="15" customHeight="1">
      <c r="B42" s="363"/>
      <c r="C42" s="368"/>
      <c r="D42" s="368"/>
      <c r="K42" s="55"/>
      <c r="L42" s="305"/>
      <c r="M42" s="626"/>
      <c r="N42" s="626"/>
      <c r="O42" s="55"/>
      <c r="P42" s="2"/>
      <c r="R42" s="296"/>
      <c r="S42" s="333"/>
    </row>
    <row r="43" spans="2:19" ht="15" customHeight="1">
      <c r="B43" s="363"/>
      <c r="C43" s="368"/>
      <c r="D43" s="368"/>
      <c r="K43" s="3" t="s">
        <v>57</v>
      </c>
      <c r="L43" s="304"/>
      <c r="M43" s="627"/>
      <c r="N43" s="627"/>
      <c r="O43" s="3"/>
      <c r="P43" s="2"/>
      <c r="R43" s="296"/>
      <c r="S43" s="333"/>
    </row>
    <row r="44" spans="2:19" ht="15" customHeight="1">
      <c r="B44" s="363"/>
      <c r="C44" s="368"/>
      <c r="D44" s="368"/>
      <c r="E44" s="365"/>
      <c r="K44" s="367" t="s">
        <v>14</v>
      </c>
      <c r="L44" s="908">
        <v>0.4</v>
      </c>
      <c r="P44" s="2"/>
      <c r="R44" s="296"/>
      <c r="S44" s="333"/>
    </row>
    <row r="45" spans="2:19" ht="15" customHeight="1">
      <c r="B45" s="363"/>
      <c r="C45" s="368"/>
      <c r="D45" s="368"/>
      <c r="E45" s="368"/>
      <c r="F45" s="441"/>
      <c r="K45" s="367" t="s">
        <v>51</v>
      </c>
      <c r="L45" s="908">
        <v>0.6</v>
      </c>
      <c r="P45" s="2"/>
      <c r="R45" s="296"/>
      <c r="S45" s="365"/>
    </row>
    <row r="46" spans="1:16" ht="15" customHeight="1">
      <c r="A46" s="395"/>
      <c r="B46" s="396"/>
      <c r="C46" s="490"/>
      <c r="D46" s="491"/>
      <c r="E46" s="98"/>
      <c r="F46" s="443"/>
      <c r="I46" s="441"/>
      <c r="K46" s="367"/>
      <c r="L46" s="415"/>
      <c r="P46" s="2"/>
    </row>
    <row r="47" spans="1:16" ht="15" customHeight="1">
      <c r="A47" s="306"/>
      <c r="B47" s="307"/>
      <c r="C47" s="491"/>
      <c r="D47" s="491"/>
      <c r="E47" s="98"/>
      <c r="F47" s="443"/>
      <c r="I47" s="442"/>
      <c r="K47" s="367"/>
      <c r="L47" s="415"/>
      <c r="P47" s="2"/>
    </row>
    <row r="48" spans="1:22" s="367" customFormat="1" ht="15" customHeight="1">
      <c r="A48" s="395"/>
      <c r="B48" s="307"/>
      <c r="C48" s="491"/>
      <c r="D48" s="491"/>
      <c r="E48" s="2"/>
      <c r="F48" s="101"/>
      <c r="H48" s="414"/>
      <c r="I48" s="101"/>
      <c r="J48" s="101"/>
      <c r="K48" s="2"/>
      <c r="L48" s="2"/>
      <c r="M48" s="364"/>
      <c r="N48" s="364"/>
      <c r="O48" s="2"/>
      <c r="T48" s="414"/>
      <c r="U48" s="416"/>
      <c r="V48" s="417"/>
    </row>
    <row r="49" spans="1:22" s="367" customFormat="1" ht="14.25" customHeight="1">
      <c r="A49" s="413"/>
      <c r="B49" s="492"/>
      <c r="C49" s="432"/>
      <c r="D49" s="432"/>
      <c r="E49" s="428"/>
      <c r="G49" s="101"/>
      <c r="I49" s="414"/>
      <c r="J49" s="101"/>
      <c r="L49" s="415"/>
      <c r="M49" s="364"/>
      <c r="N49" s="364"/>
      <c r="O49" s="2"/>
      <c r="P49" s="415"/>
      <c r="T49" s="414"/>
      <c r="U49" s="416"/>
      <c r="V49" s="417"/>
    </row>
    <row r="50" spans="2:22" s="367" customFormat="1" ht="15" customHeight="1">
      <c r="B50" s="422"/>
      <c r="C50" s="429"/>
      <c r="D50" s="429"/>
      <c r="E50" s="420"/>
      <c r="G50" s="101"/>
      <c r="I50" s="414"/>
      <c r="J50" s="101"/>
      <c r="K50" s="971"/>
      <c r="L50" s="971"/>
      <c r="M50" s="971"/>
      <c r="N50" s="971"/>
      <c r="O50" s="971"/>
      <c r="P50" s="415"/>
      <c r="T50" s="414"/>
      <c r="U50" s="416"/>
      <c r="V50" s="417"/>
    </row>
    <row r="51" spans="2:22" s="367" customFormat="1" ht="15" customHeight="1">
      <c r="B51" s="423"/>
      <c r="C51" s="429"/>
      <c r="D51" s="429"/>
      <c r="E51" s="420"/>
      <c r="F51" s="419"/>
      <c r="G51" s="101"/>
      <c r="I51" s="414"/>
      <c r="J51" s="101"/>
      <c r="L51" s="415"/>
      <c r="M51" s="414"/>
      <c r="N51" s="414"/>
      <c r="T51" s="414"/>
      <c r="U51" s="416"/>
      <c r="V51" s="417"/>
    </row>
    <row r="52" spans="2:22" s="367" customFormat="1" ht="15" customHeight="1">
      <c r="B52" s="424"/>
      <c r="C52" s="429"/>
      <c r="D52" s="429"/>
      <c r="E52" s="420"/>
      <c r="G52" s="101"/>
      <c r="I52" s="414"/>
      <c r="J52" s="101"/>
      <c r="K52" s="101"/>
      <c r="M52" s="414"/>
      <c r="N52" s="414"/>
      <c r="T52" s="414"/>
      <c r="U52" s="416"/>
      <c r="V52" s="417"/>
    </row>
    <row r="53" spans="2:22" s="367" customFormat="1" ht="15" customHeight="1">
      <c r="B53" s="423"/>
      <c r="C53" s="429"/>
      <c r="D53" s="493"/>
      <c r="E53" s="421"/>
      <c r="G53" s="101"/>
      <c r="I53" s="414"/>
      <c r="J53" s="101"/>
      <c r="M53" s="414"/>
      <c r="N53" s="414"/>
      <c r="T53" s="414"/>
      <c r="U53" s="416"/>
      <c r="V53" s="417"/>
    </row>
    <row r="54" spans="2:22" s="367" customFormat="1" ht="15" customHeight="1">
      <c r="B54" s="423"/>
      <c r="C54" s="429"/>
      <c r="D54" s="430"/>
      <c r="E54" s="420"/>
      <c r="G54" s="101"/>
      <c r="I54" s="414"/>
      <c r="J54" s="101"/>
      <c r="M54" s="414"/>
      <c r="N54" s="414"/>
      <c r="T54" s="414"/>
      <c r="U54" s="416"/>
      <c r="V54" s="417"/>
    </row>
    <row r="55" spans="2:22" s="367" customFormat="1" ht="15" customHeight="1">
      <c r="B55" s="424"/>
      <c r="C55" s="429"/>
      <c r="D55" s="429"/>
      <c r="E55" s="420"/>
      <c r="G55" s="101"/>
      <c r="I55" s="414"/>
      <c r="J55" s="101"/>
      <c r="M55" s="414"/>
      <c r="N55" s="414"/>
      <c r="T55" s="414"/>
      <c r="U55" s="416"/>
      <c r="V55" s="417"/>
    </row>
    <row r="56" spans="2:22" s="367" customFormat="1" ht="15" customHeight="1">
      <c r="B56" s="425"/>
      <c r="C56" s="429"/>
      <c r="D56" s="429"/>
      <c r="E56" s="420"/>
      <c r="G56" s="101"/>
      <c r="I56" s="414"/>
      <c r="J56" s="101"/>
      <c r="M56" s="414"/>
      <c r="N56" s="414"/>
      <c r="T56" s="414"/>
      <c r="U56" s="416"/>
      <c r="V56" s="417"/>
    </row>
    <row r="57" spans="2:22" s="367" customFormat="1" ht="15" customHeight="1">
      <c r="B57" s="422"/>
      <c r="C57" s="429"/>
      <c r="D57" s="429"/>
      <c r="E57" s="420"/>
      <c r="G57" s="101"/>
      <c r="I57" s="414"/>
      <c r="J57" s="101"/>
      <c r="M57" s="414"/>
      <c r="N57" s="414"/>
      <c r="T57" s="414"/>
      <c r="U57" s="416"/>
      <c r="V57" s="417"/>
    </row>
    <row r="58" spans="2:22" s="367" customFormat="1" ht="15" customHeight="1">
      <c r="B58" s="423"/>
      <c r="C58" s="429"/>
      <c r="D58" s="429"/>
      <c r="E58" s="420"/>
      <c r="G58" s="101"/>
      <c r="I58" s="414"/>
      <c r="J58" s="101"/>
      <c r="M58" s="414"/>
      <c r="N58" s="414"/>
      <c r="T58" s="414"/>
      <c r="U58" s="416"/>
      <c r="V58" s="417"/>
    </row>
    <row r="59" spans="2:22" s="367" customFormat="1" ht="15" customHeight="1">
      <c r="B59" s="424"/>
      <c r="C59" s="429"/>
      <c r="D59" s="429"/>
      <c r="E59" s="420"/>
      <c r="G59" s="101"/>
      <c r="I59" s="414"/>
      <c r="J59" s="101"/>
      <c r="M59" s="414"/>
      <c r="N59" s="414"/>
      <c r="T59" s="414"/>
      <c r="U59" s="416"/>
      <c r="V59" s="417"/>
    </row>
    <row r="60" spans="2:22" s="367" customFormat="1" ht="15" customHeight="1">
      <c r="B60" s="423"/>
      <c r="C60" s="429"/>
      <c r="D60" s="429"/>
      <c r="E60" s="420"/>
      <c r="G60" s="101"/>
      <c r="I60" s="414"/>
      <c r="J60" s="101"/>
      <c r="M60" s="414"/>
      <c r="N60" s="414"/>
      <c r="T60" s="414"/>
      <c r="U60" s="416"/>
      <c r="V60" s="417"/>
    </row>
    <row r="61" spans="2:22" s="367" customFormat="1" ht="15" customHeight="1">
      <c r="B61" s="425"/>
      <c r="C61" s="429"/>
      <c r="D61" s="429"/>
      <c r="E61" s="420"/>
      <c r="G61" s="101"/>
      <c r="I61" s="414"/>
      <c r="J61" s="101"/>
      <c r="K61" s="101"/>
      <c r="M61" s="414"/>
      <c r="N61" s="414"/>
      <c r="T61" s="414"/>
      <c r="U61" s="416"/>
      <c r="V61" s="417"/>
    </row>
    <row r="62" spans="2:22" s="367" customFormat="1" ht="15" customHeight="1">
      <c r="B62" s="424"/>
      <c r="C62" s="429"/>
      <c r="D62" s="429"/>
      <c r="E62" s="420"/>
      <c r="G62" s="101"/>
      <c r="I62" s="414"/>
      <c r="J62" s="101"/>
      <c r="K62" s="101"/>
      <c r="M62" s="414"/>
      <c r="N62" s="414"/>
      <c r="T62" s="414"/>
      <c r="U62" s="416"/>
      <c r="V62" s="417"/>
    </row>
    <row r="63" spans="2:22" s="367" customFormat="1" ht="15" customHeight="1">
      <c r="B63" s="423"/>
      <c r="C63" s="429"/>
      <c r="D63" s="430"/>
      <c r="E63" s="420"/>
      <c r="G63" s="101"/>
      <c r="I63" s="414"/>
      <c r="J63" s="101"/>
      <c r="K63" s="101"/>
      <c r="M63" s="414"/>
      <c r="N63" s="414"/>
      <c r="T63" s="414"/>
      <c r="U63" s="416"/>
      <c r="V63" s="417"/>
    </row>
    <row r="64" spans="2:22" s="367" customFormat="1" ht="15" customHeight="1">
      <c r="B64" s="426"/>
      <c r="C64" s="427"/>
      <c r="D64" s="431"/>
      <c r="E64" s="420"/>
      <c r="G64" s="101"/>
      <c r="I64" s="414"/>
      <c r="J64" s="101"/>
      <c r="K64" s="101"/>
      <c r="M64" s="414"/>
      <c r="N64" s="414"/>
      <c r="T64" s="414"/>
      <c r="U64" s="416"/>
      <c r="V64" s="417"/>
    </row>
    <row r="65" spans="2:22" s="367" customFormat="1" ht="15" customHeight="1">
      <c r="B65" s="423"/>
      <c r="C65" s="429"/>
      <c r="D65" s="430"/>
      <c r="E65" s="421"/>
      <c r="G65" s="101"/>
      <c r="I65" s="414"/>
      <c r="J65" s="101"/>
      <c r="K65" s="101"/>
      <c r="M65" s="414"/>
      <c r="N65" s="414"/>
      <c r="T65" s="414"/>
      <c r="U65" s="416"/>
      <c r="V65" s="417"/>
    </row>
    <row r="66" spans="2:22" s="367" customFormat="1" ht="15" customHeight="1">
      <c r="B66" s="423"/>
      <c r="C66" s="429"/>
      <c r="D66" s="430"/>
      <c r="E66" s="421"/>
      <c r="G66" s="101"/>
      <c r="I66" s="414"/>
      <c r="J66" s="101"/>
      <c r="K66" s="101"/>
      <c r="M66" s="414"/>
      <c r="N66" s="414"/>
      <c r="T66" s="414"/>
      <c r="U66" s="416"/>
      <c r="V66" s="417"/>
    </row>
    <row r="67" spans="2:22" s="367" customFormat="1" ht="15" customHeight="1">
      <c r="B67" s="423"/>
      <c r="C67" s="429"/>
      <c r="D67" s="430"/>
      <c r="E67" s="421"/>
      <c r="G67" s="101"/>
      <c r="I67" s="414"/>
      <c r="J67" s="101"/>
      <c r="K67" s="101"/>
      <c r="M67" s="414"/>
      <c r="N67" s="414"/>
      <c r="T67" s="414"/>
      <c r="U67" s="416"/>
      <c r="V67" s="417"/>
    </row>
    <row r="68" spans="2:22" s="367" customFormat="1" ht="15" customHeight="1">
      <c r="B68" s="426"/>
      <c r="C68" s="429"/>
      <c r="D68" s="431"/>
      <c r="E68" s="421"/>
      <c r="G68" s="101"/>
      <c r="I68" s="414"/>
      <c r="J68" s="101"/>
      <c r="K68" s="101"/>
      <c r="M68" s="414"/>
      <c r="N68" s="414"/>
      <c r="T68" s="414"/>
      <c r="U68" s="416"/>
      <c r="V68" s="417"/>
    </row>
    <row r="69" spans="2:22" s="367" customFormat="1" ht="15" customHeight="1">
      <c r="B69" s="423"/>
      <c r="C69" s="429"/>
      <c r="D69" s="430"/>
      <c r="E69" s="421"/>
      <c r="G69" s="101"/>
      <c r="I69" s="414"/>
      <c r="J69" s="101"/>
      <c r="K69" s="101"/>
      <c r="M69" s="414"/>
      <c r="N69" s="414"/>
      <c r="T69" s="414"/>
      <c r="U69" s="416"/>
      <c r="V69" s="417"/>
    </row>
    <row r="70" spans="2:22" s="367" customFormat="1" ht="15" customHeight="1">
      <c r="B70" s="423"/>
      <c r="C70" s="429"/>
      <c r="D70" s="430"/>
      <c r="E70" s="421"/>
      <c r="G70" s="101"/>
      <c r="I70" s="414"/>
      <c r="J70" s="101"/>
      <c r="K70" s="101"/>
      <c r="M70" s="414"/>
      <c r="N70" s="414"/>
      <c r="T70" s="414"/>
      <c r="U70" s="416"/>
      <c r="V70" s="417"/>
    </row>
    <row r="71" spans="2:22" s="367" customFormat="1" ht="15" customHeight="1">
      <c r="B71" s="423"/>
      <c r="C71" s="429"/>
      <c r="D71" s="430"/>
      <c r="E71" s="421"/>
      <c r="G71" s="101"/>
      <c r="I71" s="414"/>
      <c r="J71" s="101"/>
      <c r="K71" s="101"/>
      <c r="M71" s="414"/>
      <c r="N71" s="414"/>
      <c r="T71" s="414"/>
      <c r="U71" s="416"/>
      <c r="V71" s="417"/>
    </row>
    <row r="72" spans="2:22" s="367" customFormat="1" ht="15" customHeight="1">
      <c r="B72" s="423"/>
      <c r="C72" s="429"/>
      <c r="D72" s="430"/>
      <c r="E72" s="421"/>
      <c r="G72" s="101"/>
      <c r="I72" s="414"/>
      <c r="J72" s="101"/>
      <c r="K72" s="101"/>
      <c r="M72" s="414"/>
      <c r="N72" s="414"/>
      <c r="T72" s="414"/>
      <c r="U72" s="416"/>
      <c r="V72" s="417"/>
    </row>
    <row r="73" spans="2:22" s="367" customFormat="1" ht="15" customHeight="1">
      <c r="B73" s="423"/>
      <c r="C73" s="429"/>
      <c r="D73" s="430"/>
      <c r="E73" s="421"/>
      <c r="G73" s="101"/>
      <c r="I73" s="414"/>
      <c r="J73" s="101"/>
      <c r="K73" s="101"/>
      <c r="M73" s="414"/>
      <c r="N73" s="414"/>
      <c r="T73" s="414"/>
      <c r="U73" s="416"/>
      <c r="V73" s="417"/>
    </row>
    <row r="74" spans="2:22" s="367" customFormat="1" ht="12.75">
      <c r="B74" s="423"/>
      <c r="C74" s="429"/>
      <c r="D74" s="430"/>
      <c r="E74" s="421"/>
      <c r="F74" s="101"/>
      <c r="H74" s="414"/>
      <c r="I74" s="101"/>
      <c r="J74" s="101"/>
      <c r="K74" s="101"/>
      <c r="M74" s="414"/>
      <c r="N74" s="414"/>
      <c r="P74" s="415"/>
      <c r="T74" s="414"/>
      <c r="U74" s="416"/>
      <c r="V74" s="417"/>
    </row>
    <row r="75" spans="3:22" s="367" customFormat="1" ht="12.75">
      <c r="C75" s="418"/>
      <c r="D75" s="420"/>
      <c r="F75" s="101"/>
      <c r="H75" s="414"/>
      <c r="I75" s="101"/>
      <c r="J75" s="101"/>
      <c r="K75" s="101"/>
      <c r="M75" s="414"/>
      <c r="N75" s="414"/>
      <c r="P75" s="415"/>
      <c r="T75" s="414"/>
      <c r="U75" s="416"/>
      <c r="V75" s="417"/>
    </row>
    <row r="76" spans="3:22" s="367" customFormat="1" ht="12.75">
      <c r="C76" s="418"/>
      <c r="D76" s="420"/>
      <c r="F76" s="101"/>
      <c r="H76" s="414"/>
      <c r="I76" s="101"/>
      <c r="J76" s="101"/>
      <c r="M76" s="414"/>
      <c r="N76" s="414"/>
      <c r="P76" s="415"/>
      <c r="T76" s="414"/>
      <c r="U76" s="416"/>
      <c r="V76" s="417"/>
    </row>
    <row r="77" spans="3:22" s="367" customFormat="1" ht="12.75">
      <c r="C77" s="418"/>
      <c r="D77" s="420"/>
      <c r="F77" s="101"/>
      <c r="H77" s="414"/>
      <c r="I77" s="101"/>
      <c r="J77" s="101"/>
      <c r="M77" s="414"/>
      <c r="N77" s="414"/>
      <c r="P77" s="415"/>
      <c r="T77" s="414"/>
      <c r="U77" s="416"/>
      <c r="V77" s="417"/>
    </row>
    <row r="78" spans="3:22" s="367" customFormat="1" ht="12.75">
      <c r="C78" s="418"/>
      <c r="D78" s="420"/>
      <c r="F78" s="101"/>
      <c r="H78" s="414"/>
      <c r="I78" s="101"/>
      <c r="J78" s="101"/>
      <c r="M78" s="414"/>
      <c r="N78" s="414"/>
      <c r="P78" s="415"/>
      <c r="T78" s="414"/>
      <c r="U78" s="416"/>
      <c r="V78" s="417"/>
    </row>
    <row r="79" spans="3:22" s="367" customFormat="1" ht="12.75">
      <c r="C79" s="418"/>
      <c r="D79" s="420"/>
      <c r="F79" s="101"/>
      <c r="H79" s="414"/>
      <c r="I79" s="101"/>
      <c r="J79" s="101"/>
      <c r="M79" s="414"/>
      <c r="N79" s="414"/>
      <c r="P79" s="415"/>
      <c r="T79" s="414"/>
      <c r="U79" s="416"/>
      <c r="V79" s="417"/>
    </row>
    <row r="80" spans="3:22" s="367" customFormat="1" ht="12.75">
      <c r="C80" s="418"/>
      <c r="D80" s="420"/>
      <c r="F80" s="101"/>
      <c r="H80" s="414"/>
      <c r="I80" s="101"/>
      <c r="J80" s="101"/>
      <c r="M80" s="414"/>
      <c r="N80" s="414"/>
      <c r="P80" s="415"/>
      <c r="T80" s="414"/>
      <c r="U80" s="416"/>
      <c r="V80" s="417"/>
    </row>
    <row r="81" spans="3:22" s="367" customFormat="1" ht="12.75">
      <c r="C81" s="418"/>
      <c r="D81" s="420"/>
      <c r="F81" s="101"/>
      <c r="H81" s="414"/>
      <c r="I81" s="101"/>
      <c r="J81" s="101"/>
      <c r="M81" s="414"/>
      <c r="N81" s="414"/>
      <c r="P81" s="415"/>
      <c r="T81" s="414"/>
      <c r="U81" s="416"/>
      <c r="V81" s="417"/>
    </row>
    <row r="82" spans="3:22" s="367" customFormat="1" ht="12.75">
      <c r="C82" s="418"/>
      <c r="D82" s="420"/>
      <c r="F82" s="101"/>
      <c r="H82" s="414"/>
      <c r="I82" s="101"/>
      <c r="J82" s="101"/>
      <c r="M82" s="414"/>
      <c r="N82" s="414"/>
      <c r="P82" s="415"/>
      <c r="T82" s="414"/>
      <c r="U82" s="416"/>
      <c r="V82" s="417"/>
    </row>
    <row r="83" spans="3:22" s="367" customFormat="1" ht="12.75">
      <c r="C83" s="418"/>
      <c r="D83" s="420"/>
      <c r="F83" s="101"/>
      <c r="H83" s="414"/>
      <c r="I83" s="101"/>
      <c r="J83" s="101"/>
      <c r="M83" s="414"/>
      <c r="N83" s="414"/>
      <c r="P83" s="415"/>
      <c r="T83" s="414"/>
      <c r="U83" s="416"/>
      <c r="V83" s="417"/>
    </row>
    <row r="84" spans="3:22" s="367" customFormat="1" ht="12.75">
      <c r="C84" s="418"/>
      <c r="D84" s="420"/>
      <c r="F84" s="101"/>
      <c r="H84" s="414"/>
      <c r="I84" s="101"/>
      <c r="J84" s="101"/>
      <c r="M84" s="414"/>
      <c r="N84" s="414"/>
      <c r="P84" s="415"/>
      <c r="T84" s="414"/>
      <c r="U84" s="416"/>
      <c r="V84" s="417"/>
    </row>
    <row r="85" spans="3:22" s="367" customFormat="1" ht="12.75">
      <c r="C85" s="418"/>
      <c r="D85" s="418"/>
      <c r="F85" s="101"/>
      <c r="H85" s="414"/>
      <c r="I85" s="101"/>
      <c r="J85" s="101"/>
      <c r="M85" s="414"/>
      <c r="N85" s="414"/>
      <c r="P85" s="415"/>
      <c r="T85" s="414"/>
      <c r="U85" s="416"/>
      <c r="V85" s="417"/>
    </row>
    <row r="86" spans="3:22" s="367" customFormat="1" ht="12.75">
      <c r="C86" s="418"/>
      <c r="D86" s="418"/>
      <c r="F86" s="101"/>
      <c r="H86" s="414"/>
      <c r="I86" s="101"/>
      <c r="J86" s="101"/>
      <c r="M86" s="414"/>
      <c r="N86" s="414"/>
      <c r="P86" s="415"/>
      <c r="T86" s="414"/>
      <c r="U86" s="416"/>
      <c r="V86" s="417"/>
    </row>
    <row r="87" spans="3:22" s="367" customFormat="1" ht="12.75">
      <c r="C87" s="418"/>
      <c r="D87" s="418"/>
      <c r="F87" s="101"/>
      <c r="H87" s="414"/>
      <c r="I87" s="101"/>
      <c r="J87" s="101"/>
      <c r="M87" s="414"/>
      <c r="N87" s="414"/>
      <c r="P87" s="415"/>
      <c r="T87" s="414"/>
      <c r="U87" s="416"/>
      <c r="V87" s="417"/>
    </row>
    <row r="88" spans="3:22" s="367" customFormat="1" ht="12.75">
      <c r="C88" s="418"/>
      <c r="D88" s="418"/>
      <c r="F88" s="101"/>
      <c r="H88" s="414"/>
      <c r="I88" s="101"/>
      <c r="J88" s="101"/>
      <c r="M88" s="414"/>
      <c r="N88" s="414"/>
      <c r="P88" s="415"/>
      <c r="T88" s="414"/>
      <c r="U88" s="416"/>
      <c r="V88" s="417"/>
    </row>
    <row r="89" spans="3:22" s="367" customFormat="1" ht="12.75">
      <c r="C89" s="418"/>
      <c r="D89" s="418"/>
      <c r="F89" s="101"/>
      <c r="H89" s="414"/>
      <c r="I89" s="101"/>
      <c r="J89" s="101"/>
      <c r="M89" s="414"/>
      <c r="N89" s="414"/>
      <c r="P89" s="415"/>
      <c r="T89" s="414"/>
      <c r="U89" s="416"/>
      <c r="V89" s="417"/>
    </row>
    <row r="90" spans="3:22" s="367" customFormat="1" ht="12.75">
      <c r="C90" s="418"/>
      <c r="D90" s="418"/>
      <c r="F90" s="101"/>
      <c r="H90" s="414"/>
      <c r="I90" s="101"/>
      <c r="J90" s="101"/>
      <c r="M90" s="414"/>
      <c r="N90" s="414"/>
      <c r="P90" s="415"/>
      <c r="T90" s="414"/>
      <c r="U90" s="416"/>
      <c r="V90" s="417"/>
    </row>
    <row r="91" spans="3:22" s="367" customFormat="1" ht="12.75">
      <c r="C91" s="418"/>
      <c r="D91" s="418"/>
      <c r="F91" s="101"/>
      <c r="H91" s="414"/>
      <c r="I91" s="101"/>
      <c r="J91" s="101"/>
      <c r="M91" s="414"/>
      <c r="N91" s="414"/>
      <c r="P91" s="415"/>
      <c r="T91" s="414"/>
      <c r="U91" s="416"/>
      <c r="V91" s="417"/>
    </row>
    <row r="92" spans="3:22" s="367" customFormat="1" ht="12.75">
      <c r="C92" s="418"/>
      <c r="D92" s="418"/>
      <c r="F92" s="101"/>
      <c r="H92" s="414"/>
      <c r="I92" s="101"/>
      <c r="J92" s="101"/>
      <c r="M92" s="414"/>
      <c r="N92" s="414"/>
      <c r="P92" s="415"/>
      <c r="T92" s="414"/>
      <c r="U92" s="416"/>
      <c r="V92" s="417"/>
    </row>
    <row r="93" spans="3:22" s="367" customFormat="1" ht="12.75">
      <c r="C93" s="418"/>
      <c r="D93" s="418"/>
      <c r="F93" s="101"/>
      <c r="H93" s="414"/>
      <c r="I93" s="101"/>
      <c r="J93" s="101"/>
      <c r="M93" s="414"/>
      <c r="N93" s="414"/>
      <c r="P93" s="415"/>
      <c r="T93" s="414"/>
      <c r="U93" s="416"/>
      <c r="V93" s="417"/>
    </row>
    <row r="94" spans="3:22" s="367" customFormat="1" ht="12.75">
      <c r="C94" s="418"/>
      <c r="D94" s="418"/>
      <c r="F94" s="101"/>
      <c r="H94" s="414"/>
      <c r="I94" s="101"/>
      <c r="J94" s="101"/>
      <c r="M94" s="414"/>
      <c r="N94" s="414"/>
      <c r="P94" s="415"/>
      <c r="T94" s="414"/>
      <c r="U94" s="416"/>
      <c r="V94" s="417"/>
    </row>
    <row r="95" spans="3:22" s="367" customFormat="1" ht="12.75">
      <c r="C95" s="418"/>
      <c r="D95" s="418"/>
      <c r="F95" s="101"/>
      <c r="H95" s="414"/>
      <c r="I95" s="101"/>
      <c r="J95" s="101"/>
      <c r="M95" s="414"/>
      <c r="N95" s="414"/>
      <c r="P95" s="415"/>
      <c r="T95" s="414"/>
      <c r="U95" s="416"/>
      <c r="V95" s="417"/>
    </row>
    <row r="96" spans="3:22" s="367" customFormat="1" ht="12.75">
      <c r="C96" s="418"/>
      <c r="D96" s="418"/>
      <c r="F96" s="101"/>
      <c r="H96" s="414"/>
      <c r="I96" s="101"/>
      <c r="J96" s="101"/>
      <c r="M96" s="414"/>
      <c r="N96" s="414"/>
      <c r="P96" s="415"/>
      <c r="T96" s="414"/>
      <c r="U96" s="416"/>
      <c r="V96" s="417"/>
    </row>
    <row r="97" spans="3:22" s="367" customFormat="1" ht="12.75">
      <c r="C97" s="418"/>
      <c r="D97" s="418"/>
      <c r="F97" s="101"/>
      <c r="H97" s="414"/>
      <c r="I97" s="101"/>
      <c r="J97" s="101"/>
      <c r="M97" s="414"/>
      <c r="N97" s="414"/>
      <c r="P97" s="415"/>
      <c r="T97" s="414"/>
      <c r="U97" s="416"/>
      <c r="V97" s="417"/>
    </row>
    <row r="98" spans="3:22" s="367" customFormat="1" ht="12.75">
      <c r="C98" s="418"/>
      <c r="D98" s="418"/>
      <c r="F98" s="101"/>
      <c r="H98" s="414"/>
      <c r="I98" s="101"/>
      <c r="J98" s="101"/>
      <c r="M98" s="414"/>
      <c r="N98" s="414"/>
      <c r="P98" s="415"/>
      <c r="T98" s="414"/>
      <c r="U98" s="416"/>
      <c r="V98" s="417"/>
    </row>
    <row r="99" spans="11:15" ht="12.75">
      <c r="K99" s="367"/>
      <c r="L99" s="367"/>
      <c r="M99" s="414"/>
      <c r="N99" s="414"/>
      <c r="O99" s="367"/>
    </row>
    <row r="100" spans="11:15" ht="12.75">
      <c r="K100" s="367"/>
      <c r="L100" s="367"/>
      <c r="M100" s="414"/>
      <c r="N100" s="414"/>
      <c r="O100" s="367"/>
    </row>
  </sheetData>
  <sheetProtection password="D6C3" sheet="1"/>
  <mergeCells count="4">
    <mergeCell ref="C3:I3"/>
    <mergeCell ref="K50:O50"/>
    <mergeCell ref="M4:O4"/>
    <mergeCell ref="A2:I2"/>
  </mergeCells>
  <printOptions/>
  <pageMargins left="0.7480314960629921" right="0.7480314960629921" top="0.984251968503937" bottom="0.984251968503937" header="0.5118110236220472" footer="0.5118110236220472"/>
  <pageSetup fitToHeight="1" fitToWidth="1" horizontalDpi="600" verticalDpi="600" orientation="landscape" scale="70" r:id="rId3"/>
  <headerFooter alignWithMargins="0">
    <oddFooter>&amp;L&amp;12Steward Fee-Setting&amp;R&amp;12Stewardship Ontario, 
July, 2013</oddFooter>
  </headerFooter>
  <legacyDrawing r:id="rId2"/>
</worksheet>
</file>

<file path=xl/worksheets/sheet4.xml><?xml version="1.0" encoding="utf-8"?>
<worksheet xmlns="http://schemas.openxmlformats.org/spreadsheetml/2006/main" xmlns:r="http://schemas.openxmlformats.org/officeDocument/2006/relationships">
  <sheetPr codeName="Sheet6">
    <tabColor indexed="53"/>
    <pageSetUpPr fitToPage="1"/>
  </sheetPr>
  <dimension ref="A1:S55"/>
  <sheetViews>
    <sheetView showGridLines="0" zoomScale="85" zoomScaleNormal="85" zoomScalePageLayoutView="0" workbookViewId="0" topLeftCell="A1">
      <pane xSplit="3" ySplit="5" topLeftCell="D6" activePane="bottomRight" state="frozen"/>
      <selection pane="topLeft" activeCell="A10" sqref="A10:C20"/>
      <selection pane="topRight" activeCell="A10" sqref="A10:C20"/>
      <selection pane="bottomLeft" activeCell="A10" sqref="A10:C20"/>
      <selection pane="bottomRight" activeCell="D6" sqref="D6"/>
    </sheetView>
  </sheetViews>
  <sheetFormatPr defaultColWidth="9.140625" defaultRowHeight="12.75"/>
  <cols>
    <col min="1" max="1" width="20.00390625" style="3" customWidth="1"/>
    <col min="2" max="2" width="29.421875" style="304" bestFit="1" customWidth="1"/>
    <col min="3" max="3" width="11.140625" style="501" customWidth="1"/>
    <col min="4" max="4" width="13.28125" style="502" customWidth="1"/>
    <col min="5" max="5" width="15.8515625" style="503" customWidth="1"/>
    <col min="6" max="6" width="1.421875" style="502" customWidth="1"/>
    <col min="7" max="7" width="10.57421875" style="503" customWidth="1"/>
    <col min="8" max="8" width="15.8515625" style="304" customWidth="1"/>
    <col min="9" max="9" width="1.1484375" style="304" customWidth="1"/>
    <col min="10" max="10" width="15.00390625" style="503" customWidth="1"/>
    <col min="11" max="11" width="18.00390625" style="503" bestFit="1" customWidth="1"/>
    <col min="12" max="12" width="10.00390625" style="304" customWidth="1"/>
    <col min="13" max="14" width="8.8515625" style="304" customWidth="1"/>
    <col min="15" max="15" width="0.9921875" style="304" customWidth="1"/>
    <col min="16" max="16" width="18.28125" style="304" customWidth="1"/>
    <col min="17" max="17" width="12.140625" style="304" customWidth="1"/>
    <col min="18" max="19" width="10.140625" style="304" customWidth="1"/>
    <col min="20" max="16384" width="9.140625" style="304" customWidth="1"/>
  </cols>
  <sheetData>
    <row r="1" ht="26.25">
      <c r="A1" s="440" t="s">
        <v>67</v>
      </c>
    </row>
    <row r="2" spans="3:18" ht="12.75" customHeight="1" thickBot="1">
      <c r="C2" s="505"/>
      <c r="D2" s="506"/>
      <c r="E2" s="507"/>
      <c r="F2" s="506"/>
      <c r="G2" s="507"/>
      <c r="H2" s="504"/>
      <c r="I2" s="504"/>
      <c r="J2" s="507"/>
      <c r="K2" s="507"/>
      <c r="L2" s="504"/>
      <c r="M2" s="504"/>
      <c r="N2" s="504"/>
      <c r="O2" s="504"/>
      <c r="P2" s="504"/>
      <c r="Q2" s="504"/>
      <c r="R2" s="504"/>
    </row>
    <row r="3" spans="1:19" ht="17.25" customHeight="1" thickBot="1">
      <c r="A3" s="976"/>
      <c r="B3" s="976"/>
      <c r="C3" s="976"/>
      <c r="D3" s="976"/>
      <c r="E3" s="976"/>
      <c r="F3" s="506"/>
      <c r="G3" s="507"/>
      <c r="H3" s="508"/>
      <c r="I3" s="508">
        <v>0.92564</v>
      </c>
      <c r="J3" s="507"/>
      <c r="K3" s="507"/>
      <c r="L3" s="504"/>
      <c r="M3" s="504"/>
      <c r="N3" s="504"/>
      <c r="O3" s="504"/>
      <c r="P3" s="509"/>
      <c r="Q3" s="509"/>
      <c r="R3" s="628" t="s">
        <v>59</v>
      </c>
      <c r="S3" s="629">
        <f>Inputs!B7/100</f>
        <v>0.6</v>
      </c>
    </row>
    <row r="4" spans="1:19" ht="16.5" thickBot="1">
      <c r="A4" s="4"/>
      <c r="B4" s="504"/>
      <c r="C4" s="510"/>
      <c r="D4" s="983" t="s">
        <v>91</v>
      </c>
      <c r="E4" s="984"/>
      <c r="F4" s="391"/>
      <c r="G4" s="980" t="s">
        <v>11</v>
      </c>
      <c r="H4" s="982"/>
      <c r="I4" s="7"/>
      <c r="J4" s="980" t="s">
        <v>37</v>
      </c>
      <c r="K4" s="981"/>
      <c r="L4" s="981"/>
      <c r="M4" s="981"/>
      <c r="N4" s="982"/>
      <c r="O4" s="8"/>
      <c r="P4" s="977">
        <f>S3</f>
        <v>0.6</v>
      </c>
      <c r="Q4" s="978"/>
      <c r="R4" s="978"/>
      <c r="S4" s="979"/>
    </row>
    <row r="5" spans="1:19" s="521" customFormat="1" ht="40.5" customHeight="1">
      <c r="A5" s="369" t="s">
        <v>19</v>
      </c>
      <c r="B5" s="370" t="s">
        <v>15</v>
      </c>
      <c r="C5" s="511" t="s">
        <v>69</v>
      </c>
      <c r="D5" s="512" t="s">
        <v>72</v>
      </c>
      <c r="E5" s="513" t="s">
        <v>20</v>
      </c>
      <c r="F5" s="514"/>
      <c r="G5" s="515" t="s">
        <v>72</v>
      </c>
      <c r="H5" s="513" t="s">
        <v>73</v>
      </c>
      <c r="I5" s="514"/>
      <c r="J5" s="515" t="s">
        <v>72</v>
      </c>
      <c r="K5" s="516" t="s">
        <v>74</v>
      </c>
      <c r="L5" s="516" t="s">
        <v>75</v>
      </c>
      <c r="M5" s="517" t="s">
        <v>76</v>
      </c>
      <c r="N5" s="518" t="s">
        <v>77</v>
      </c>
      <c r="O5" s="517"/>
      <c r="P5" s="515" t="s">
        <v>127</v>
      </c>
      <c r="Q5" s="519" t="s">
        <v>128</v>
      </c>
      <c r="R5" s="516" t="s">
        <v>76</v>
      </c>
      <c r="S5" s="520" t="s">
        <v>77</v>
      </c>
    </row>
    <row r="6" spans="1:19" s="3" customFormat="1" ht="15" customHeight="1">
      <c r="A6" s="10" t="s">
        <v>34</v>
      </c>
      <c r="B6" s="11"/>
      <c r="C6" s="371"/>
      <c r="D6" s="15"/>
      <c r="E6" s="16"/>
      <c r="F6" s="17"/>
      <c r="G6" s="15"/>
      <c r="H6" s="16"/>
      <c r="I6" s="17"/>
      <c r="J6" s="15"/>
      <c r="K6" s="18"/>
      <c r="L6" s="12"/>
      <c r="M6" s="19"/>
      <c r="N6" s="20"/>
      <c r="O6" s="19"/>
      <c r="P6" s="21"/>
      <c r="Q6" s="675"/>
      <c r="R6" s="675"/>
      <c r="S6" s="701"/>
    </row>
    <row r="7" spans="1:19" ht="15" customHeight="1">
      <c r="A7" s="22" t="s">
        <v>0</v>
      </c>
      <c r="B7" s="444" t="s">
        <v>89</v>
      </c>
      <c r="C7" s="522">
        <f>'Sheet 1 Gen &amp; Rec'!E7</f>
        <v>190351.41231934767</v>
      </c>
      <c r="D7" s="523">
        <f>Inputs!E13</f>
        <v>184.54976606445064</v>
      </c>
      <c r="E7" s="524">
        <f>C7*D7</f>
        <v>35129308.6135734</v>
      </c>
      <c r="F7" s="525"/>
      <c r="G7" s="523">
        <f>Inputs!F13</f>
        <v>81.54309239710177</v>
      </c>
      <c r="H7" s="524">
        <f>C7*G7</f>
        <v>15521842.802675383</v>
      </c>
      <c r="I7" s="525"/>
      <c r="J7" s="523">
        <f>IF(C7=0,0,K7/C7)</f>
        <v>103.00667366734889</v>
      </c>
      <c r="K7" s="526">
        <f>E7-H7</f>
        <v>19607465.81089802</v>
      </c>
      <c r="L7" s="678">
        <f aca="true" t="shared" si="0" ref="L7:L12">K7/K$41</f>
        <v>0.08636309377368902</v>
      </c>
      <c r="M7" s="683">
        <f>K7/K$12</f>
        <v>0.4141677523627608</v>
      </c>
      <c r="N7" s="684"/>
      <c r="O7" s="527"/>
      <c r="P7" s="24">
        <f>MAX(0,'Sheet 1 Gen &amp; Rec'!C7*'Sheet 2 Gross &amp; Net Costs'!S$3*'Sheet 2 Gross &amp; Net Costs'!J7-'Sheet 2 Gross &amp; Net Costs'!K7)</f>
        <v>0</v>
      </c>
      <c r="Q7" s="678">
        <f aca="true" t="shared" si="1" ref="Q7:Q12">P7/P$41</f>
        <v>0</v>
      </c>
      <c r="R7" s="678">
        <f aca="true" t="shared" si="2" ref="R7:R12">IF($S$3=0,0,P7/P$12)</f>
        <v>0</v>
      </c>
      <c r="S7" s="702"/>
    </row>
    <row r="8" spans="1:19" ht="15" customHeight="1">
      <c r="A8" s="22"/>
      <c r="B8" s="445" t="s">
        <v>65</v>
      </c>
      <c r="C8" s="528">
        <f>'Sheet 1 Gen &amp; Rec'!E8</f>
        <v>125204.90572829357</v>
      </c>
      <c r="D8" s="523">
        <f>Inputs!E14</f>
        <v>184.54976606445064</v>
      </c>
      <c r="E8" s="524">
        <f>C8*D8</f>
        <v>23106536.062278174</v>
      </c>
      <c r="F8" s="525"/>
      <c r="G8" s="523">
        <f>Inputs!F14</f>
        <v>81.54309239710177</v>
      </c>
      <c r="H8" s="524">
        <f>C8*G8</f>
        <v>10209595.19637266</v>
      </c>
      <c r="I8" s="525"/>
      <c r="J8" s="523">
        <f>IF(C8=0,0,K8/C8)</f>
        <v>103.00667366734886</v>
      </c>
      <c r="K8" s="526">
        <f>E8-H8</f>
        <v>12896940.865905514</v>
      </c>
      <c r="L8" s="678">
        <f t="shared" si="0"/>
        <v>0.056805898535691846</v>
      </c>
      <c r="M8" s="683">
        <f>K8/K$12</f>
        <v>0.27242158993431315</v>
      </c>
      <c r="N8" s="684"/>
      <c r="O8" s="527"/>
      <c r="P8" s="24">
        <f>MAX(0,'Sheet 1 Gen &amp; Rec'!C8*'Sheet 2 Gross &amp; Net Costs'!S$3*'Sheet 2 Gross &amp; Net Costs'!J8-'Sheet 2 Gross &amp; Net Costs'!K8)</f>
        <v>0</v>
      </c>
      <c r="Q8" s="678">
        <f t="shared" si="1"/>
        <v>0</v>
      </c>
      <c r="R8" s="678">
        <f t="shared" si="2"/>
        <v>0</v>
      </c>
      <c r="S8" s="702"/>
    </row>
    <row r="9" spans="1:19" ht="15" customHeight="1">
      <c r="A9" s="22"/>
      <c r="B9" s="529" t="s">
        <v>3</v>
      </c>
      <c r="C9" s="530">
        <f>'Sheet 1 Gen &amp; Rec'!E9</f>
        <v>63467.67520632979</v>
      </c>
      <c r="D9" s="523">
        <f>Inputs!E15</f>
        <v>184.54976606445064</v>
      </c>
      <c r="E9" s="524">
        <f>C9*D9</f>
        <v>11712944.611982696</v>
      </c>
      <c r="F9" s="525"/>
      <c r="G9" s="523">
        <f>Inputs!F15</f>
        <v>81.54309239710177</v>
      </c>
      <c r="H9" s="524">
        <f>C9*G9</f>
        <v>5175350.503578995</v>
      </c>
      <c r="I9" s="525"/>
      <c r="J9" s="523">
        <f>IF(C9=0,0,K9/C9)</f>
        <v>103.00667366734885</v>
      </c>
      <c r="K9" s="526">
        <f>E9-H9</f>
        <v>6537594.1084037</v>
      </c>
      <c r="L9" s="678">
        <f t="shared" si="0"/>
        <v>0.02879550363538421</v>
      </c>
      <c r="M9" s="683">
        <f>K9/K$12</f>
        <v>0.13809335096392944</v>
      </c>
      <c r="N9" s="684"/>
      <c r="O9" s="527"/>
      <c r="P9" s="24">
        <f>MAX(0,'Sheet 1 Gen &amp; Rec'!C9*'Sheet 2 Gross &amp; Net Costs'!S$3*'Sheet 2 Gross &amp; Net Costs'!J9-'Sheet 2 Gross &amp; Net Costs'!K9)</f>
        <v>0</v>
      </c>
      <c r="Q9" s="678">
        <f t="shared" si="1"/>
        <v>0</v>
      </c>
      <c r="R9" s="678">
        <f t="shared" si="2"/>
        <v>0</v>
      </c>
      <c r="S9" s="702"/>
    </row>
    <row r="10" spans="1:19" ht="15" customHeight="1">
      <c r="A10" s="27"/>
      <c r="B10" s="531" t="s">
        <v>1</v>
      </c>
      <c r="C10" s="530">
        <f>'Sheet 1 Gen &amp; Rec'!E10</f>
        <v>7208.0403979945095</v>
      </c>
      <c r="D10" s="523">
        <f>Inputs!E16</f>
        <v>203.4121277956883</v>
      </c>
      <c r="E10" s="532">
        <f>C10*D10</f>
        <v>1466202.834593343</v>
      </c>
      <c r="F10" s="533"/>
      <c r="G10" s="523">
        <f>Inputs!F16</f>
        <v>84.31956106629144</v>
      </c>
      <c r="H10" s="532">
        <f>C10*G10</f>
        <v>607778.8025069938</v>
      </c>
      <c r="I10" s="533"/>
      <c r="J10" s="534">
        <f>IF(C10=0,0,K10/C10)</f>
        <v>119.09256672939685</v>
      </c>
      <c r="K10" s="535">
        <f>E10-H10</f>
        <v>858424.0320863493</v>
      </c>
      <c r="L10" s="679">
        <f t="shared" si="0"/>
        <v>0.003781016674753349</v>
      </c>
      <c r="M10" s="683">
        <f>K10/K$12</f>
        <v>0.01813245808368432</v>
      </c>
      <c r="N10" s="685"/>
      <c r="O10" s="536"/>
      <c r="P10" s="24">
        <f>MAX(0,'Sheet 1 Gen &amp; Rec'!C10*'Sheet 2 Gross &amp; Net Costs'!S$3*'Sheet 2 Gross &amp; Net Costs'!J10-'Sheet 2 Gross &amp; Net Costs'!K10)</f>
        <v>0</v>
      </c>
      <c r="Q10" s="678">
        <f t="shared" si="1"/>
        <v>0</v>
      </c>
      <c r="R10" s="678">
        <f t="shared" si="2"/>
        <v>0</v>
      </c>
      <c r="S10" s="702"/>
    </row>
    <row r="11" spans="1:19" ht="15" customHeight="1">
      <c r="A11" s="29"/>
      <c r="B11" s="537" t="s">
        <v>2</v>
      </c>
      <c r="C11" s="530">
        <f>'Sheet 1 Gen &amp; Rec'!E11</f>
        <v>64370.101658016916</v>
      </c>
      <c r="D11" s="523">
        <f>Inputs!E17</f>
        <v>197.3744955918701</v>
      </c>
      <c r="E11" s="538">
        <f>C11*D11</f>
        <v>12705016.34594849</v>
      </c>
      <c r="F11" s="539"/>
      <c r="G11" s="523">
        <f>Inputs!F17</f>
        <v>81.77081229932534</v>
      </c>
      <c r="H11" s="538">
        <f>C11*G11</f>
        <v>5263595.500366192</v>
      </c>
      <c r="I11" s="539"/>
      <c r="J11" s="540">
        <f>IF(C11=0,0,K11/C11)</f>
        <v>115.60368329254474</v>
      </c>
      <c r="K11" s="541">
        <f>E11-H11</f>
        <v>7441420.845582297</v>
      </c>
      <c r="L11" s="680">
        <f t="shared" si="0"/>
        <v>0.03277650118044878</v>
      </c>
      <c r="M11" s="683">
        <f>K11/K$12</f>
        <v>0.15718484865531226</v>
      </c>
      <c r="N11" s="686"/>
      <c r="O11" s="542"/>
      <c r="P11" s="24">
        <f>MAX(0,'Sheet 1 Gen &amp; Rec'!C11*'Sheet 2 Gross &amp; Net Costs'!S$3*'Sheet 2 Gross &amp; Net Costs'!J11-'Sheet 2 Gross &amp; Net Costs'!K11)</f>
        <v>1020938.3021910787</v>
      </c>
      <c r="Q11" s="678">
        <f t="shared" si="1"/>
        <v>0.0055912611913445</v>
      </c>
      <c r="R11" s="678">
        <f t="shared" si="2"/>
        <v>1</v>
      </c>
      <c r="S11" s="702"/>
    </row>
    <row r="12" spans="1:19" s="3" customFormat="1" ht="15" customHeight="1" thickBot="1">
      <c r="A12" s="31" t="s">
        <v>25</v>
      </c>
      <c r="B12" s="32"/>
      <c r="C12" s="495">
        <f>SUM(C7:C11)</f>
        <v>450602.13530998246</v>
      </c>
      <c r="D12" s="35">
        <f>ROUND(E12/C12,1)</f>
        <v>186.7</v>
      </c>
      <c r="E12" s="36">
        <f>SUM(E7:E11)</f>
        <v>84120008.4683761</v>
      </c>
      <c r="F12" s="37"/>
      <c r="G12" s="38">
        <f>H12/$C12</f>
        <v>81.62003666538207</v>
      </c>
      <c r="H12" s="36">
        <f>SUM(H7:H11)</f>
        <v>36778162.805500224</v>
      </c>
      <c r="I12" s="37"/>
      <c r="J12" s="38">
        <f>K12/$C12</f>
        <v>105.0635182416702</v>
      </c>
      <c r="K12" s="39">
        <f>SUM(K7:K11)</f>
        <v>47341845.66287588</v>
      </c>
      <c r="L12" s="673">
        <f t="shared" si="0"/>
        <v>0.2085220137999672</v>
      </c>
      <c r="M12" s="687">
        <f>SUM(M7:M11)</f>
        <v>1</v>
      </c>
      <c r="N12" s="688"/>
      <c r="O12" s="40"/>
      <c r="P12" s="42">
        <f>SUM(P7:P11)</f>
        <v>1020938.3021910787</v>
      </c>
      <c r="Q12" s="677">
        <f t="shared" si="1"/>
        <v>0.0055912611913445</v>
      </c>
      <c r="R12" s="677">
        <f t="shared" si="2"/>
        <v>1</v>
      </c>
      <c r="S12" s="703"/>
    </row>
    <row r="13" spans="1:19" s="55" customFormat="1" ht="7.5" customHeight="1" thickBot="1">
      <c r="A13" s="43"/>
      <c r="B13" s="44"/>
      <c r="C13" s="496"/>
      <c r="D13" s="48"/>
      <c r="E13" s="49"/>
      <c r="F13" s="50"/>
      <c r="G13" s="51"/>
      <c r="H13" s="49"/>
      <c r="I13" s="50"/>
      <c r="J13" s="51"/>
      <c r="K13" s="52"/>
      <c r="L13" s="668"/>
      <c r="M13" s="689"/>
      <c r="N13" s="690"/>
      <c r="O13" s="53"/>
      <c r="P13" s="54"/>
      <c r="Q13" s="704"/>
      <c r="R13" s="704"/>
      <c r="S13" s="705"/>
    </row>
    <row r="14" spans="1:19" s="55" customFormat="1" ht="15" customHeight="1">
      <c r="A14" s="56" t="s">
        <v>33</v>
      </c>
      <c r="B14" s="57"/>
      <c r="C14" s="497"/>
      <c r="D14" s="58"/>
      <c r="E14" s="59"/>
      <c r="F14" s="60"/>
      <c r="G14" s="61"/>
      <c r="H14" s="59"/>
      <c r="I14" s="60"/>
      <c r="J14" s="61"/>
      <c r="K14" s="62"/>
      <c r="L14" s="681"/>
      <c r="M14" s="691"/>
      <c r="N14" s="692"/>
      <c r="O14" s="63"/>
      <c r="P14" s="64"/>
      <c r="Q14" s="681"/>
      <c r="R14" s="681"/>
      <c r="S14" s="706"/>
    </row>
    <row r="15" spans="1:19" ht="15" customHeight="1">
      <c r="A15" s="22" t="s">
        <v>42</v>
      </c>
      <c r="B15" s="529" t="s">
        <v>145</v>
      </c>
      <c r="C15" s="530">
        <f>'Sheet 1 Gen &amp; Rec'!E15</f>
        <v>142303.58324633702</v>
      </c>
      <c r="D15" s="523">
        <f>Inputs!E19</f>
        <v>478.9807053054713</v>
      </c>
      <c r="E15" s="524">
        <f>C15*D15</f>
        <v>68160670.67082636</v>
      </c>
      <c r="F15" s="525"/>
      <c r="G15" s="543">
        <f>Inputs!F19</f>
        <v>108.69477115934878</v>
      </c>
      <c r="H15" s="524">
        <f>C15*G15</f>
        <v>15467655.41611594</v>
      </c>
      <c r="I15" s="525"/>
      <c r="J15" s="523">
        <f>IF(C15=0,0,K15/C15)</f>
        <v>370.2859341461226</v>
      </c>
      <c r="K15" s="526">
        <f>E15-H15</f>
        <v>52693015.25471042</v>
      </c>
      <c r="L15" s="678">
        <f aca="true" t="shared" si="3" ref="L15:L37">K15/K$41</f>
        <v>0.2320917889925194</v>
      </c>
      <c r="M15" s="869"/>
      <c r="N15" s="684">
        <f aca="true" t="shared" si="4" ref="N15:N37">K15/K$39</f>
        <v>0.29323846403715653</v>
      </c>
      <c r="O15" s="527"/>
      <c r="P15" s="24">
        <f>MAX(0,'Sheet 1 Gen &amp; Rec'!C15*'Sheet 2 Gross &amp; Net Costs'!S$3*'Sheet 2 Gross &amp; Net Costs'!J15-'Sheet 2 Gross &amp; Net Costs'!K15)</f>
        <v>0</v>
      </c>
      <c r="Q15" s="678">
        <f aca="true" t="shared" si="5" ref="Q15:Q37">P15/P$41</f>
        <v>0</v>
      </c>
      <c r="R15" s="678"/>
      <c r="S15" s="702">
        <f aca="true" t="shared" si="6" ref="S15:S37">IF($S$3=0,0,P15/P$39)</f>
        <v>0</v>
      </c>
    </row>
    <row r="16" spans="1:19" ht="15" customHeight="1">
      <c r="A16" s="22" t="s">
        <v>28</v>
      </c>
      <c r="B16" s="537" t="s">
        <v>147</v>
      </c>
      <c r="C16" s="530">
        <f>'Sheet 1 Gen &amp; Rec'!E16</f>
        <v>77270.8160713792</v>
      </c>
      <c r="D16" s="523">
        <f>Inputs!E20</f>
        <v>295.60507766096873</v>
      </c>
      <c r="E16" s="538">
        <f>C16*D16</f>
        <v>22841645.58570648</v>
      </c>
      <c r="F16" s="539"/>
      <c r="G16" s="543">
        <f>Inputs!F20</f>
        <v>85.33779721347442</v>
      </c>
      <c r="H16" s="538">
        <f>C16*G16</f>
        <v>6594121.232419038</v>
      </c>
      <c r="I16" s="539"/>
      <c r="J16" s="540">
        <f>IF(C16=0,0,K16/C16)</f>
        <v>210.26728044749433</v>
      </c>
      <c r="K16" s="541">
        <f>E16-H16</f>
        <v>16247524.353287442</v>
      </c>
      <c r="L16" s="680">
        <f t="shared" si="3"/>
        <v>0.07156388708495692</v>
      </c>
      <c r="M16" s="694"/>
      <c r="N16" s="684">
        <f t="shared" si="4"/>
        <v>0.09041803857178961</v>
      </c>
      <c r="O16" s="544"/>
      <c r="P16" s="24">
        <f>MAX(0,'Sheet 1 Gen &amp; Rec'!C16*'Sheet 2 Gross &amp; Net Costs'!S$3*'Sheet 2 Gross &amp; Net Costs'!J16-'Sheet 2 Gross &amp; Net Costs'!K16)</f>
        <v>3970707.8706214484</v>
      </c>
      <c r="Q16" s="680">
        <f t="shared" si="5"/>
        <v>0.021745941720008734</v>
      </c>
      <c r="R16" s="680"/>
      <c r="S16" s="702">
        <f t="shared" si="6"/>
        <v>0.02186821260849066</v>
      </c>
    </row>
    <row r="17" spans="1:19" ht="15" customHeight="1">
      <c r="A17" s="27"/>
      <c r="B17" s="531" t="s">
        <v>146</v>
      </c>
      <c r="C17" s="530">
        <f>'Sheet 1 Gen &amp; Rec'!E17</f>
        <v>7733.747820664159</v>
      </c>
      <c r="D17" s="523">
        <f>Inputs!E21</f>
        <v>1162.9787444852047</v>
      </c>
      <c r="E17" s="532">
        <f>C17*D17</f>
        <v>8994184.330641191</v>
      </c>
      <c r="F17" s="533"/>
      <c r="G17" s="543">
        <f>Inputs!F21</f>
        <v>89.89886465534276</v>
      </c>
      <c r="H17" s="532">
        <f>C17*G17</f>
        <v>695255.1486084393</v>
      </c>
      <c r="I17" s="533"/>
      <c r="J17" s="534">
        <f>IF(C17=0,0,K17/C17)</f>
        <v>1073.079879829862</v>
      </c>
      <c r="K17" s="535">
        <f>E17-H17</f>
        <v>8298929.182032752</v>
      </c>
      <c r="L17" s="679">
        <f t="shared" si="3"/>
        <v>0.036553484579875596</v>
      </c>
      <c r="M17" s="693"/>
      <c r="N17" s="684">
        <f t="shared" si="4"/>
        <v>0.04618382976811855</v>
      </c>
      <c r="O17" s="527"/>
      <c r="P17" s="24">
        <f>MAX(0,'Sheet 1 Gen &amp; Rec'!C17*'Sheet 2 Gross &amp; Net Costs'!S$3*'Sheet 2 Gross &amp; Net Costs'!J17-'Sheet 2 Gross &amp; Net Costs'!K17)</f>
        <v>1767803.077524838</v>
      </c>
      <c r="Q17" s="679">
        <f t="shared" si="5"/>
        <v>0.009681533859676924</v>
      </c>
      <c r="R17" s="679"/>
      <c r="S17" s="702">
        <f t="shared" si="6"/>
        <v>0.009735970212083835</v>
      </c>
    </row>
    <row r="18" spans="1:19" ht="15" customHeight="1">
      <c r="A18" s="27"/>
      <c r="B18" s="531" t="s">
        <v>178</v>
      </c>
      <c r="C18" s="530">
        <f>'Sheet 1 Gen &amp; Rec'!E18</f>
        <v>2383.6439515879733</v>
      </c>
      <c r="D18" s="523">
        <f>Inputs!E22</f>
        <v>1008.9820237550588</v>
      </c>
      <c r="E18" s="532">
        <f>C18*D18</f>
        <v>2405053.8981847386</v>
      </c>
      <c r="F18" s="533"/>
      <c r="G18" s="543">
        <f>Inputs!F22</f>
        <v>0</v>
      </c>
      <c r="H18" s="532">
        <f>C18*G18</f>
        <v>0</v>
      </c>
      <c r="I18" s="533"/>
      <c r="J18" s="534">
        <f>IF(C18=0,0,K18/C18)</f>
        <v>1008.9820237550588</v>
      </c>
      <c r="K18" s="535">
        <f>E18-H18</f>
        <v>2405053.8981847386</v>
      </c>
      <c r="L18" s="679">
        <f t="shared" si="3"/>
        <v>0.010593306516146457</v>
      </c>
      <c r="M18" s="693"/>
      <c r="N18" s="684">
        <f t="shared" si="4"/>
        <v>0.013384208658797967</v>
      </c>
      <c r="O18" s="527"/>
      <c r="P18" s="24">
        <f>MAX(0,'Sheet 1 Gen &amp; Rec'!C18*'Sheet 2 Gross &amp; Net Costs'!S$3*'Sheet 2 Gross &amp; Net Costs'!J18-'Sheet 2 Gross &amp; Net Costs'!K18)</f>
        <v>22799375.45053798</v>
      </c>
      <c r="Q18" s="679">
        <f t="shared" si="5"/>
        <v>0.12486284711808854</v>
      </c>
      <c r="R18" s="679"/>
      <c r="S18" s="702">
        <f t="shared" si="6"/>
        <v>0.12556491334506936</v>
      </c>
    </row>
    <row r="19" spans="1:19" ht="15" customHeight="1">
      <c r="A19" s="29"/>
      <c r="B19" s="537" t="s">
        <v>5</v>
      </c>
      <c r="C19" s="530">
        <f>'Sheet 1 Gen &amp; Rec'!E19</f>
        <v>1120.7361373798642</v>
      </c>
      <c r="D19" s="523">
        <f>Inputs!E23</f>
        <v>1008.9820237550588</v>
      </c>
      <c r="E19" s="538">
        <f>C19*D19</f>
        <v>1130802.615988963</v>
      </c>
      <c r="F19" s="539"/>
      <c r="G19" s="543">
        <f>Inputs!F23</f>
        <v>88.53964010727763</v>
      </c>
      <c r="H19" s="538">
        <f>C19*G19</f>
        <v>99229.57425883364</v>
      </c>
      <c r="I19" s="539"/>
      <c r="J19" s="540">
        <f>IF(C19=0,0,K19/C19)</f>
        <v>920.4423836477812</v>
      </c>
      <c r="K19" s="541">
        <f>E19-H19</f>
        <v>1031573.0417301294</v>
      </c>
      <c r="L19" s="680">
        <f t="shared" si="3"/>
        <v>0.004543669242959065</v>
      </c>
      <c r="M19" s="694"/>
      <c r="N19" s="684">
        <f t="shared" si="4"/>
        <v>0.005740739884344338</v>
      </c>
      <c r="O19" s="544"/>
      <c r="P19" s="24">
        <f>MAX(0,'Sheet 1 Gen &amp; Rec'!C19*'Sheet 2 Gross &amp; Net Costs'!S$3*'Sheet 2 Gross &amp; Net Costs'!J19-'Sheet 2 Gross &amp; Net Costs'!K19)</f>
        <v>2206013.5756261665</v>
      </c>
      <c r="Q19" s="680">
        <f t="shared" si="5"/>
        <v>0.012081433389761488</v>
      </c>
      <c r="R19" s="680"/>
      <c r="S19" s="702">
        <f t="shared" si="6"/>
        <v>0.01214936365526671</v>
      </c>
    </row>
    <row r="20" spans="1:19" s="3" customFormat="1" ht="15" customHeight="1">
      <c r="A20" s="65" t="s">
        <v>21</v>
      </c>
      <c r="B20" s="11"/>
      <c r="C20" s="371">
        <f>SUM(C15:C19)</f>
        <v>230812.5272273482</v>
      </c>
      <c r="D20" s="15">
        <f>ROUND(E20/C20,1)</f>
        <v>448.6</v>
      </c>
      <c r="E20" s="16">
        <f>SUM(E15:E19)</f>
        <v>103532357.10134774</v>
      </c>
      <c r="F20" s="17"/>
      <c r="G20" s="66">
        <f>H20/$C20</f>
        <v>99.0252203637502</v>
      </c>
      <c r="H20" s="16">
        <f>SUM(H15:H19)</f>
        <v>22856261.37140225</v>
      </c>
      <c r="I20" s="17"/>
      <c r="J20" s="66">
        <f>K20/$C20</f>
        <v>349.53083655845194</v>
      </c>
      <c r="K20" s="67">
        <f>SUM(K15:K19)</f>
        <v>80676095.72994548</v>
      </c>
      <c r="L20" s="675">
        <f t="shared" si="3"/>
        <v>0.3553461364164574</v>
      </c>
      <c r="M20" s="695"/>
      <c r="N20" s="696">
        <f t="shared" si="4"/>
        <v>0.448965280920207</v>
      </c>
      <c r="O20" s="19"/>
      <c r="P20" s="21">
        <f>SUM(P15:P19)</f>
        <v>30743899.974310435</v>
      </c>
      <c r="Q20" s="675">
        <f t="shared" si="5"/>
        <v>0.1683717560875357</v>
      </c>
      <c r="R20" s="675"/>
      <c r="S20" s="701">
        <f t="shared" si="6"/>
        <v>0.1693184598209106</v>
      </c>
    </row>
    <row r="21" spans="1:19" ht="15" customHeight="1">
      <c r="A21" s="22" t="s">
        <v>43</v>
      </c>
      <c r="B21" s="529" t="s">
        <v>148</v>
      </c>
      <c r="C21" s="530">
        <f>'Sheet 1 Gen &amp; Rec'!E21</f>
        <v>32417.546587897956</v>
      </c>
      <c r="D21" s="523">
        <f>Inputs!E25</f>
        <v>1309.5132345696593</v>
      </c>
      <c r="E21" s="524">
        <f aca="true" t="shared" si="7" ref="E21:E26">C21*D21</f>
        <v>42451206.289130874</v>
      </c>
      <c r="F21" s="525"/>
      <c r="G21" s="543">
        <f>Inputs!F25</f>
        <v>415.9567331069417</v>
      </c>
      <c r="H21" s="524">
        <f aca="true" t="shared" si="8" ref="H21:H26">C21*G21</f>
        <v>13484296.774044119</v>
      </c>
      <c r="I21" s="525"/>
      <c r="J21" s="523">
        <f aca="true" t="shared" si="9" ref="J21:J26">IF(C21=0,0,K21/C21)</f>
        <v>893.5565014627176</v>
      </c>
      <c r="K21" s="526">
        <f aca="true" t="shared" si="10" ref="K21:K26">E21-H21</f>
        <v>28966909.515086755</v>
      </c>
      <c r="L21" s="678">
        <f t="shared" si="3"/>
        <v>0.1275877233148074</v>
      </c>
      <c r="M21" s="683"/>
      <c r="N21" s="684">
        <f t="shared" si="4"/>
        <v>0.16120185973506246</v>
      </c>
      <c r="O21" s="527"/>
      <c r="P21" s="24">
        <f>MAX(0,'Sheet 1 Gen &amp; Rec'!C21*'Sheet 2 Gross &amp; Net Costs'!S$3*'Sheet 2 Gross &amp; Net Costs'!J21-'Sheet 2 Gross &amp; Net Costs'!K21)</f>
        <v>575883.9786566384</v>
      </c>
      <c r="Q21" s="678">
        <f t="shared" si="5"/>
        <v>0.0031538808306726526</v>
      </c>
      <c r="R21" s="678"/>
      <c r="S21" s="702">
        <f t="shared" si="6"/>
        <v>0.00317161415380474</v>
      </c>
    </row>
    <row r="22" spans="1:19" ht="15" customHeight="1">
      <c r="A22" s="27"/>
      <c r="B22" s="531" t="s">
        <v>149</v>
      </c>
      <c r="C22" s="530">
        <f>'Sheet 1 Gen &amp; Rec'!E22</f>
        <v>15494.097551877097</v>
      </c>
      <c r="D22" s="523">
        <f>Inputs!E26</f>
        <v>1216.841937055583</v>
      </c>
      <c r="E22" s="532">
        <f t="shared" si="7"/>
        <v>18853867.677954294</v>
      </c>
      <c r="F22" s="533"/>
      <c r="G22" s="543">
        <f>Inputs!F26</f>
        <v>514.1883364152729</v>
      </c>
      <c r="H22" s="532">
        <f t="shared" si="8"/>
        <v>7966884.244455638</v>
      </c>
      <c r="I22" s="533"/>
      <c r="J22" s="534">
        <f t="shared" si="9"/>
        <v>702.65360064031</v>
      </c>
      <c r="K22" s="535">
        <f t="shared" si="10"/>
        <v>10886983.433498655</v>
      </c>
      <c r="L22" s="679">
        <f t="shared" si="3"/>
        <v>0.047952834917465575</v>
      </c>
      <c r="M22" s="693"/>
      <c r="N22" s="684">
        <f t="shared" si="4"/>
        <v>0.06058644176282409</v>
      </c>
      <c r="O22" s="527"/>
      <c r="P22" s="24">
        <f>MAX(0,'Sheet 1 Gen &amp; Rec'!C22*'Sheet 2 Gross &amp; Net Costs'!S$3*'Sheet 2 Gross &amp; Net Costs'!J22-'Sheet 2 Gross &amp; Net Costs'!K22)</f>
        <v>552587.9992510751</v>
      </c>
      <c r="Q22" s="679">
        <f t="shared" si="5"/>
        <v>0.003026298286962476</v>
      </c>
      <c r="R22" s="679"/>
      <c r="S22" s="707">
        <f t="shared" si="6"/>
        <v>0.0030433142518318085</v>
      </c>
    </row>
    <row r="23" spans="1:19" ht="15" customHeight="1">
      <c r="A23" s="27"/>
      <c r="B23" s="531" t="s">
        <v>6</v>
      </c>
      <c r="C23" s="530">
        <f>'Sheet 1 Gen &amp; Rec'!E23</f>
        <v>4033.412461592335</v>
      </c>
      <c r="D23" s="523">
        <f>Inputs!E27</f>
        <v>2138.917343443317</v>
      </c>
      <c r="E23" s="532">
        <f t="shared" si="7"/>
        <v>8627135.867360247</v>
      </c>
      <c r="F23" s="533"/>
      <c r="G23" s="543">
        <f>Inputs!F27</f>
        <v>31.242948614193185</v>
      </c>
      <c r="H23" s="532">
        <f t="shared" si="8"/>
        <v>126015.69827737578</v>
      </c>
      <c r="I23" s="533"/>
      <c r="J23" s="534">
        <f t="shared" si="9"/>
        <v>2107.6743948291237</v>
      </c>
      <c r="K23" s="535">
        <f t="shared" si="10"/>
        <v>8501120.16908287</v>
      </c>
      <c r="L23" s="679">
        <f t="shared" si="3"/>
        <v>0.037444055515620835</v>
      </c>
      <c r="M23" s="693"/>
      <c r="N23" s="684">
        <f t="shared" si="4"/>
        <v>0.0473090296489402</v>
      </c>
      <c r="O23" s="527"/>
      <c r="P23" s="24">
        <f>MAX(0,'Sheet 1 Gen &amp; Rec'!C23*'Sheet 2 Gross &amp; Net Costs'!S$3*'Sheet 2 Gross &amp; Net Costs'!J23-'Sheet 2 Gross &amp; Net Costs'!K23)</f>
        <v>62514319.63176448</v>
      </c>
      <c r="Q23" s="679">
        <f t="shared" si="5"/>
        <v>0.34236534030532595</v>
      </c>
      <c r="R23" s="679"/>
      <c r="S23" s="707">
        <f t="shared" si="6"/>
        <v>0.34429035762044324</v>
      </c>
    </row>
    <row r="24" spans="1:19" ht="15" customHeight="1">
      <c r="A24" s="27"/>
      <c r="B24" s="531" t="s">
        <v>186</v>
      </c>
      <c r="C24" s="530">
        <f>'Sheet 1 Gen &amp; Rec'!E24</f>
        <v>600.475386107308</v>
      </c>
      <c r="D24" s="523">
        <f>Inputs!E28</f>
        <v>2121.1426023172203</v>
      </c>
      <c r="E24" s="532">
        <f t="shared" si="7"/>
        <v>1273693.923115093</v>
      </c>
      <c r="F24" s="533"/>
      <c r="G24" s="543">
        <f>Inputs!F28</f>
        <v>0</v>
      </c>
      <c r="H24" s="532">
        <f t="shared" si="8"/>
        <v>0</v>
      </c>
      <c r="I24" s="533"/>
      <c r="J24" s="534">
        <f t="shared" si="9"/>
        <v>2121.1426023172203</v>
      </c>
      <c r="K24" s="535">
        <f t="shared" si="10"/>
        <v>1273693.923115093</v>
      </c>
      <c r="L24" s="679">
        <f t="shared" si="3"/>
        <v>0.005610115492835768</v>
      </c>
      <c r="M24" s="693"/>
      <c r="N24" s="684">
        <f t="shared" si="4"/>
        <v>0.007088151017023872</v>
      </c>
      <c r="O24" s="527"/>
      <c r="P24" s="24">
        <f>MAX(0,'Sheet 1 Gen &amp; Rec'!C24*'Sheet 2 Gross &amp; Net Costs'!S$3*'Sheet 2 Gross &amp; Net Costs'!J24-'Sheet 2 Gross &amp; Net Costs'!K24)</f>
        <v>44081451.85809152</v>
      </c>
      <c r="Q24" s="679">
        <f t="shared" si="5"/>
        <v>0.24141606843754065</v>
      </c>
      <c r="R24" s="679"/>
      <c r="S24" s="707">
        <f t="shared" si="6"/>
        <v>0.2427734783654129</v>
      </c>
    </row>
    <row r="25" spans="1:19" ht="15" customHeight="1">
      <c r="A25" s="27"/>
      <c r="B25" s="531" t="s">
        <v>7</v>
      </c>
      <c r="C25" s="530">
        <f>'Sheet 1 Gen &amp; Rec'!E25</f>
        <v>1284.205064025022</v>
      </c>
      <c r="D25" s="523">
        <f>Inputs!E29</f>
        <v>1571.2967070498394</v>
      </c>
      <c r="E25" s="532">
        <f t="shared" si="7"/>
        <v>2017867.1882792453</v>
      </c>
      <c r="F25" s="533"/>
      <c r="G25" s="543">
        <f>Inputs!F29</f>
        <v>86.98894692150012</v>
      </c>
      <c r="H25" s="532">
        <f t="shared" si="8"/>
        <v>111711.6461507943</v>
      </c>
      <c r="I25" s="533"/>
      <c r="J25" s="534">
        <f t="shared" si="9"/>
        <v>1484.3077601283392</v>
      </c>
      <c r="K25" s="535">
        <f t="shared" si="10"/>
        <v>1906155.542128451</v>
      </c>
      <c r="L25" s="679">
        <f t="shared" si="3"/>
        <v>0.00839585754833132</v>
      </c>
      <c r="M25" s="693"/>
      <c r="N25" s="684">
        <f t="shared" si="4"/>
        <v>0.010607821941631877</v>
      </c>
      <c r="O25" s="527"/>
      <c r="P25" s="24">
        <f>MAX(0,'Sheet 1 Gen &amp; Rec'!C25*'Sheet 2 Gross &amp; Net Costs'!S$3*'Sheet 2 Gross &amp; Net Costs'!J25-'Sheet 2 Gross &amp; Net Costs'!K25)</f>
        <v>18344929.595846646</v>
      </c>
      <c r="Q25" s="679">
        <f t="shared" si="5"/>
        <v>0.10046767046262436</v>
      </c>
      <c r="R25" s="679"/>
      <c r="S25" s="707">
        <f t="shared" si="6"/>
        <v>0.10103256995004786</v>
      </c>
    </row>
    <row r="26" spans="1:19" ht="15" customHeight="1">
      <c r="A26" s="29"/>
      <c r="B26" s="537" t="s">
        <v>8</v>
      </c>
      <c r="C26" s="530">
        <f>'Sheet 1 Gen &amp; Rec'!E26</f>
        <v>29709.751615693618</v>
      </c>
      <c r="D26" s="523">
        <f>Inputs!E30</f>
        <v>1375.032190080741</v>
      </c>
      <c r="E26" s="538">
        <f t="shared" si="7"/>
        <v>40851864.83088203</v>
      </c>
      <c r="F26" s="539"/>
      <c r="G26" s="543">
        <f>Inputs!F30</f>
        <v>178.3377329942903</v>
      </c>
      <c r="H26" s="538">
        <f t="shared" si="8"/>
        <v>5298369.750966253</v>
      </c>
      <c r="I26" s="539"/>
      <c r="J26" s="540">
        <f t="shared" si="9"/>
        <v>1196.6944570864507</v>
      </c>
      <c r="K26" s="541">
        <f t="shared" si="10"/>
        <v>35553495.07991578</v>
      </c>
      <c r="L26" s="680">
        <f t="shared" si="3"/>
        <v>0.15659901484375088</v>
      </c>
      <c r="M26" s="694"/>
      <c r="N26" s="684">
        <f t="shared" si="4"/>
        <v>0.19785643766998356</v>
      </c>
      <c r="O26" s="544"/>
      <c r="P26" s="24">
        <f>MAX(0,'Sheet 1 Gen &amp; Rec'!C26*'Sheet 2 Gross &amp; Net Costs'!S$3*'Sheet 2 Gross &amp; Net Costs'!J26-'Sheet 2 Gross &amp; Net Costs'!K26)</f>
        <v>24386771.23562327</v>
      </c>
      <c r="Q26" s="680">
        <f t="shared" si="5"/>
        <v>0.1335563640812616</v>
      </c>
      <c r="R26" s="680"/>
      <c r="S26" s="708">
        <f t="shared" si="6"/>
        <v>0.1343073113388644</v>
      </c>
    </row>
    <row r="27" spans="1:19" s="3" customFormat="1" ht="15" customHeight="1">
      <c r="A27" s="65" t="s">
        <v>22</v>
      </c>
      <c r="B27" s="11"/>
      <c r="C27" s="14">
        <f>SUM(C21:C26)</f>
        <v>83539.48866719333</v>
      </c>
      <c r="D27" s="15">
        <f>ROUND(E27/C27,1)</f>
        <v>1365.5</v>
      </c>
      <c r="E27" s="16">
        <f>SUM(E21:E26)</f>
        <v>114075635.77672178</v>
      </c>
      <c r="F27" s="17"/>
      <c r="G27" s="66">
        <f>H27/$C27</f>
        <v>323.0481601510246</v>
      </c>
      <c r="H27" s="16">
        <f>SUM(H21:H26)</f>
        <v>26987278.11389418</v>
      </c>
      <c r="I27" s="17"/>
      <c r="J27" s="66">
        <f>K27/$C27</f>
        <v>1042.481334902256</v>
      </c>
      <c r="K27" s="67">
        <f>SUM(K21:K26)</f>
        <v>87088357.6628276</v>
      </c>
      <c r="L27" s="675">
        <f t="shared" si="3"/>
        <v>0.38358960163281175</v>
      </c>
      <c r="M27" s="695"/>
      <c r="N27" s="696">
        <f t="shared" si="4"/>
        <v>0.484649741775466</v>
      </c>
      <c r="O27" s="19"/>
      <c r="P27" s="21">
        <f>SUM(P21:P26)</f>
        <v>150455944.29923362</v>
      </c>
      <c r="Q27" s="675">
        <f t="shared" si="5"/>
        <v>0.8239856224043877</v>
      </c>
      <c r="R27" s="675"/>
      <c r="S27" s="701">
        <f t="shared" si="6"/>
        <v>0.8286186456804049</v>
      </c>
    </row>
    <row r="28" spans="1:19" ht="15" customHeight="1">
      <c r="A28" s="22" t="s">
        <v>44</v>
      </c>
      <c r="B28" s="529" t="s">
        <v>100</v>
      </c>
      <c r="C28" s="530">
        <f>'Sheet 1 Gen &amp; Rec'!E28</f>
        <v>29610.61796211721</v>
      </c>
      <c r="D28" s="523">
        <f>Inputs!E32</f>
        <v>357.3514324403655</v>
      </c>
      <c r="E28" s="524">
        <f>C28*D28</f>
        <v>10581396.744207</v>
      </c>
      <c r="F28" s="525"/>
      <c r="G28" s="543">
        <f>Inputs!F32</f>
        <v>258.05254630739034</v>
      </c>
      <c r="H28" s="524">
        <f>C28*G28</f>
        <v>7641095.362859695</v>
      </c>
      <c r="I28" s="525"/>
      <c r="J28" s="523">
        <f>IF(C28=0,0,K28/C28)</f>
        <v>99.29888613297514</v>
      </c>
      <c r="K28" s="526">
        <f>E28-H28</f>
        <v>2940301.381347305</v>
      </c>
      <c r="L28" s="678">
        <f t="shared" si="3"/>
        <v>0.012950858941652007</v>
      </c>
      <c r="M28" s="683"/>
      <c r="N28" s="684">
        <f t="shared" si="4"/>
        <v>0.016362879533555207</v>
      </c>
      <c r="O28" s="527"/>
      <c r="P28" s="24">
        <f>MAX(0,'Sheet 1 Gen &amp; Rec'!C28*'Sheet 2 Gross &amp; Net Costs'!S$3*'Sheet 2 Gross &amp; Net Costs'!J28-'Sheet 2 Gross &amp; Net Costs'!K28)</f>
        <v>0</v>
      </c>
      <c r="Q28" s="678">
        <f t="shared" si="5"/>
        <v>0</v>
      </c>
      <c r="R28" s="678"/>
      <c r="S28" s="702">
        <f t="shared" si="6"/>
        <v>0</v>
      </c>
    </row>
    <row r="29" spans="1:19" ht="15" customHeight="1">
      <c r="A29" s="27"/>
      <c r="B29" s="531" t="s">
        <v>101</v>
      </c>
      <c r="C29" s="530">
        <f>'Sheet 1 Gen &amp; Rec'!E29</f>
        <v>923.9068842706253</v>
      </c>
      <c r="D29" s="523">
        <f>Inputs!E33</f>
        <v>357.3514324403655</v>
      </c>
      <c r="E29" s="532">
        <f>C29*D29</f>
        <v>330159.4485356229</v>
      </c>
      <c r="F29" s="533"/>
      <c r="G29" s="543">
        <f>Inputs!F33</f>
        <v>258.05254630739034</v>
      </c>
      <c r="H29" s="532">
        <f>C29*G29</f>
        <v>238416.52403696225</v>
      </c>
      <c r="I29" s="533"/>
      <c r="J29" s="534">
        <f>IF(C29=0,0,K29/C29)</f>
        <v>99.29888613297514</v>
      </c>
      <c r="K29" s="535">
        <f>E29-H29</f>
        <v>91742.92449866066</v>
      </c>
      <c r="L29" s="679">
        <f t="shared" si="3"/>
        <v>0.0004040911185547756</v>
      </c>
      <c r="M29" s="693"/>
      <c r="N29" s="684">
        <f t="shared" si="4"/>
        <v>0.0005105525682335887</v>
      </c>
      <c r="O29" s="527"/>
      <c r="P29" s="24">
        <f>MAX(0,'Sheet 1 Gen &amp; Rec'!C29*'Sheet 2 Gross &amp; Net Costs'!S$3*'Sheet 2 Gross &amp; Net Costs'!J29-'Sheet 2 Gross &amp; Net Costs'!K29)</f>
        <v>132175.9658817165</v>
      </c>
      <c r="Q29" s="679">
        <f t="shared" si="5"/>
        <v>0.0007238736629597029</v>
      </c>
      <c r="R29" s="679"/>
      <c r="S29" s="707">
        <f t="shared" si="6"/>
        <v>0.0007279437868043424</v>
      </c>
    </row>
    <row r="30" spans="1:19" ht="15" customHeight="1">
      <c r="A30" s="29"/>
      <c r="B30" s="537" t="s">
        <v>102</v>
      </c>
      <c r="C30" s="530">
        <f>'Sheet 1 Gen &amp; Rec'!E30</f>
        <v>456.3513258262222</v>
      </c>
      <c r="D30" s="523">
        <f>Inputs!E34</f>
        <v>357.3514324403655</v>
      </c>
      <c r="E30" s="538">
        <f>C30*D30</f>
        <v>163077.79998006046</v>
      </c>
      <c r="F30" s="539"/>
      <c r="G30" s="543">
        <f>Inputs!F34</f>
        <v>258.05254630739034</v>
      </c>
      <c r="H30" s="538">
        <f>C30*G30</f>
        <v>117762.62164021019</v>
      </c>
      <c r="I30" s="539"/>
      <c r="J30" s="540">
        <f>IF(C30=0,0,K30/C30)</f>
        <v>99.29888613297514</v>
      </c>
      <c r="K30" s="541">
        <f>E30-H30</f>
        <v>45315.178339850274</v>
      </c>
      <c r="L30" s="680">
        <f t="shared" si="3"/>
        <v>0.0001995953497550273</v>
      </c>
      <c r="M30" s="694"/>
      <c r="N30" s="684">
        <f t="shared" si="4"/>
        <v>0.00025218054479734186</v>
      </c>
      <c r="O30" s="544"/>
      <c r="P30" s="24">
        <f>MAX(0,'Sheet 1 Gen &amp; Rec'!C30*'Sheet 2 Gross &amp; Net Costs'!S$3*'Sheet 2 Gross &amp; Net Costs'!J30-'Sheet 2 Gross &amp; Net Costs'!K30)</f>
        <v>242392.8920691206</v>
      </c>
      <c r="Q30" s="680">
        <f t="shared" si="5"/>
        <v>0.0013274866537725174</v>
      </c>
      <c r="R30" s="680"/>
      <c r="S30" s="708">
        <f t="shared" si="6"/>
        <v>0.001334950711880211</v>
      </c>
    </row>
    <row r="31" spans="1:19" s="3" customFormat="1" ht="15" customHeight="1">
      <c r="A31" s="65" t="s">
        <v>47</v>
      </c>
      <c r="B31" s="11"/>
      <c r="C31" s="14">
        <f>SUM(C28:C30)</f>
        <v>30990.876172214055</v>
      </c>
      <c r="D31" s="15">
        <f>ROUND(E31/C31,1)</f>
        <v>357.4</v>
      </c>
      <c r="E31" s="16">
        <f>SUM(E28:E30)</f>
        <v>11074633.992722685</v>
      </c>
      <c r="F31" s="17"/>
      <c r="G31" s="66">
        <f>H31/$C31</f>
        <v>258.05254630739034</v>
      </c>
      <c r="H31" s="16">
        <f>SUM(H28:H30)</f>
        <v>7997274.508536868</v>
      </c>
      <c r="I31" s="17"/>
      <c r="J31" s="66">
        <f>K31/$C31</f>
        <v>99.29888613297514</v>
      </c>
      <c r="K31" s="67">
        <f>SUM(K28:K30)</f>
        <v>3077359.484185816</v>
      </c>
      <c r="L31" s="675">
        <f t="shared" si="3"/>
        <v>0.013554545409961809</v>
      </c>
      <c r="M31" s="695"/>
      <c r="N31" s="696">
        <f t="shared" si="4"/>
        <v>0.017125612646586137</v>
      </c>
      <c r="O31" s="19"/>
      <c r="P31" s="21">
        <f>P28+P29+P30</f>
        <v>374568.8579508371</v>
      </c>
      <c r="Q31" s="675">
        <f t="shared" si="5"/>
        <v>0.00205136031673222</v>
      </c>
      <c r="R31" s="675"/>
      <c r="S31" s="701">
        <f t="shared" si="6"/>
        <v>0.0020628944986845533</v>
      </c>
    </row>
    <row r="32" spans="1:19" ht="15" customHeight="1">
      <c r="A32" s="22" t="s">
        <v>45</v>
      </c>
      <c r="B32" s="529" t="s">
        <v>103</v>
      </c>
      <c r="C32" s="530">
        <f>'Sheet 1 Gen &amp; Rec'!E32</f>
        <v>10323.419476813682</v>
      </c>
      <c r="D32" s="523">
        <f>Inputs!E36</f>
        <v>1125.474677856689</v>
      </c>
      <c r="E32" s="524">
        <f>C32*D32</f>
        <v>11618747.210046347</v>
      </c>
      <c r="F32" s="525"/>
      <c r="G32" s="543">
        <f>Inputs!F36</f>
        <v>1378.2822319018503</v>
      </c>
      <c r="H32" s="524">
        <f>C32*G32</f>
        <v>14228585.637361793</v>
      </c>
      <c r="I32" s="525"/>
      <c r="J32" s="523">
        <f>IF(C32=0,0,K32/C32)</f>
        <v>-252.80755404516128</v>
      </c>
      <c r="K32" s="526">
        <f>E32-H32</f>
        <v>-2609838.4273154456</v>
      </c>
      <c r="L32" s="678">
        <f t="shared" si="3"/>
        <v>-0.01149530097393539</v>
      </c>
      <c r="M32" s="683"/>
      <c r="N32" s="684">
        <f t="shared" si="4"/>
        <v>-0.014523841691574408</v>
      </c>
      <c r="O32" s="527"/>
      <c r="P32" s="24">
        <f>MAX(0,'Sheet 1 Gen &amp; Rec'!C32*'Sheet 2 Gross &amp; Net Costs'!S$3*'Sheet 2 Gross &amp; Net Costs'!J32-'Sheet 2 Gross &amp; Net Costs'!K32)</f>
        <v>0</v>
      </c>
      <c r="Q32" s="678">
        <f t="shared" si="5"/>
        <v>0</v>
      </c>
      <c r="R32" s="678"/>
      <c r="S32" s="702">
        <f t="shared" si="6"/>
        <v>0</v>
      </c>
    </row>
    <row r="33" spans="1:19" ht="15" customHeight="1">
      <c r="A33" s="29"/>
      <c r="B33" s="537" t="s">
        <v>88</v>
      </c>
      <c r="C33" s="530">
        <f>'Sheet 1 Gen &amp; Rec'!E33</f>
        <v>275.89662678538355</v>
      </c>
      <c r="D33" s="523">
        <f>Inputs!E37</f>
        <v>1125.474677856689</v>
      </c>
      <c r="E33" s="538">
        <f>C33*D33</f>
        <v>310514.6671530267</v>
      </c>
      <c r="F33" s="539"/>
      <c r="G33" s="543">
        <f>Inputs!F37</f>
        <v>1378.2822319018503</v>
      </c>
      <c r="H33" s="538">
        <f>C33*G33</f>
        <v>380263.4185399503</v>
      </c>
      <c r="I33" s="539"/>
      <c r="J33" s="540">
        <f>IF(C33=0,0,K33/C33)</f>
        <v>-252.80755404516148</v>
      </c>
      <c r="K33" s="541">
        <f>E33-H33</f>
        <v>-69748.7513869236</v>
      </c>
      <c r="L33" s="680">
        <f t="shared" si="3"/>
        <v>-0.0003072155277342655</v>
      </c>
      <c r="M33" s="694"/>
      <c r="N33" s="684">
        <f t="shared" si="4"/>
        <v>-0.0003881542292909989</v>
      </c>
      <c r="O33" s="544"/>
      <c r="P33" s="24">
        <f>MAX(0,'Sheet 1 Gen &amp; Rec'!C33*'Sheet 2 Gross &amp; Net Costs'!S$3*'Sheet 2 Gross &amp; Net Costs'!J33-'Sheet 2 Gross &amp; Net Costs'!K33)</f>
        <v>0</v>
      </c>
      <c r="Q33" s="680">
        <f t="shared" si="5"/>
        <v>0</v>
      </c>
      <c r="R33" s="680"/>
      <c r="S33" s="708">
        <f t="shared" si="6"/>
        <v>0</v>
      </c>
    </row>
    <row r="34" spans="1:19" s="3" customFormat="1" ht="15" customHeight="1">
      <c r="A34" s="65" t="s">
        <v>23</v>
      </c>
      <c r="B34" s="11"/>
      <c r="C34" s="14">
        <f>SUM(C32:C33)</f>
        <v>10599.316103599065</v>
      </c>
      <c r="D34" s="15">
        <f>ROUND(E34/C34,1)</f>
        <v>1125.5</v>
      </c>
      <c r="E34" s="16">
        <f>SUM(E32:E33)</f>
        <v>11929261.877199374</v>
      </c>
      <c r="F34" s="17"/>
      <c r="G34" s="66">
        <f>H34/$C34</f>
        <v>1378.2822319018503</v>
      </c>
      <c r="H34" s="16">
        <f>SUM(H32:H33)</f>
        <v>14608849.055901743</v>
      </c>
      <c r="I34" s="17"/>
      <c r="J34" s="66">
        <f>K34/$C34</f>
        <v>-252.8075540451613</v>
      </c>
      <c r="K34" s="67">
        <f>SUM(K32:K33)</f>
        <v>-2679587.1787023693</v>
      </c>
      <c r="L34" s="675">
        <f t="shared" si="3"/>
        <v>-0.011802516501669656</v>
      </c>
      <c r="M34" s="695"/>
      <c r="N34" s="696">
        <f t="shared" si="4"/>
        <v>-0.014911995920865407</v>
      </c>
      <c r="O34" s="19"/>
      <c r="P34" s="21">
        <f>SUM(P32:P33)</f>
        <v>0</v>
      </c>
      <c r="Q34" s="675">
        <f t="shared" si="5"/>
        <v>0</v>
      </c>
      <c r="R34" s="675"/>
      <c r="S34" s="701">
        <f t="shared" si="6"/>
        <v>0</v>
      </c>
    </row>
    <row r="35" spans="1:19" ht="15" customHeight="1">
      <c r="A35" s="22" t="s">
        <v>46</v>
      </c>
      <c r="B35" s="529" t="s">
        <v>118</v>
      </c>
      <c r="C35" s="530">
        <f>'Sheet 1 Gen &amp; Rec'!E35</f>
        <v>71380.10694648845</v>
      </c>
      <c r="D35" s="523">
        <f>Inputs!E39</f>
        <v>142.52353607195957</v>
      </c>
      <c r="E35" s="524">
        <f>C35*D35</f>
        <v>10173345.247208178</v>
      </c>
      <c r="F35" s="525"/>
      <c r="G35" s="543">
        <f>Inputs!F39</f>
        <v>17.675898641366874</v>
      </c>
      <c r="H35" s="524">
        <f>C35*G35</f>
        <v>1261707.5353960574</v>
      </c>
      <c r="I35" s="525"/>
      <c r="J35" s="523">
        <f>IF(C35=0,0,K35/C35)</f>
        <v>124.84763743059268</v>
      </c>
      <c r="K35" s="526">
        <f>E35-H35</f>
        <v>8911637.71181212</v>
      </c>
      <c r="L35" s="678">
        <f t="shared" si="3"/>
        <v>0.03925222212829778</v>
      </c>
      <c r="M35" s="683"/>
      <c r="N35" s="684">
        <f t="shared" si="4"/>
        <v>0.049593574063571545</v>
      </c>
      <c r="O35" s="527"/>
      <c r="P35" s="24">
        <f>MAX(0,'Sheet 1 Gen &amp; Rec'!C35*'Sheet 2 Gross &amp; Net Costs'!S$3*'Sheet 2 Gross &amp; Net Costs'!J35-'Sheet 2 Gross &amp; Net Costs'!K35)</f>
        <v>0</v>
      </c>
      <c r="Q35" s="678">
        <f t="shared" si="5"/>
        <v>0</v>
      </c>
      <c r="R35" s="678"/>
      <c r="S35" s="702">
        <f t="shared" si="6"/>
        <v>0</v>
      </c>
    </row>
    <row r="36" spans="1:19" ht="15" customHeight="1">
      <c r="A36" s="27"/>
      <c r="B36" s="531" t="s">
        <v>53</v>
      </c>
      <c r="C36" s="530">
        <f>'Sheet 1 Gen &amp; Rec'!E36</f>
        <v>22210.094309491345</v>
      </c>
      <c r="D36" s="523">
        <f>Inputs!E40</f>
        <v>133.48318563423877</v>
      </c>
      <c r="E36" s="532">
        <f>C36*D36</f>
        <v>2964674.1416677833</v>
      </c>
      <c r="F36" s="533"/>
      <c r="G36" s="543">
        <f>Inputs!F40</f>
        <v>15.539879347332754</v>
      </c>
      <c r="H36" s="532">
        <f>C36*G36</f>
        <v>345142.1858623773</v>
      </c>
      <c r="I36" s="533"/>
      <c r="J36" s="534">
        <f>IF(C36=0,0,K36/C36)</f>
        <v>117.94330628690601</v>
      </c>
      <c r="K36" s="535">
        <f>E36-H36</f>
        <v>2619531.955805406</v>
      </c>
      <c r="L36" s="679">
        <f t="shared" si="3"/>
        <v>0.011537997114173517</v>
      </c>
      <c r="M36" s="693"/>
      <c r="N36" s="684">
        <f t="shared" si="4"/>
        <v>0.01457778651503452</v>
      </c>
      <c r="O36" s="527"/>
      <c r="P36" s="24">
        <f>MAX(0,'Sheet 1 Gen &amp; Rec'!C36*'Sheet 2 Gross &amp; Net Costs'!S$3*'Sheet 2 Gross &amp; Net Costs'!J36-'Sheet 2 Gross &amp; Net Costs'!K36)</f>
        <v>0</v>
      </c>
      <c r="Q36" s="679">
        <f t="shared" si="5"/>
        <v>0</v>
      </c>
      <c r="R36" s="679"/>
      <c r="S36" s="707">
        <f t="shared" si="6"/>
        <v>0</v>
      </c>
    </row>
    <row r="37" spans="1:19" s="3" customFormat="1" ht="15" customHeight="1">
      <c r="A37" s="65" t="s">
        <v>24</v>
      </c>
      <c r="B37" s="11"/>
      <c r="C37" s="371">
        <f>SUM(C35:C36)</f>
        <v>93590.2012559798</v>
      </c>
      <c r="D37" s="15">
        <f>ROUND(E37/C37,1)</f>
        <v>140.4</v>
      </c>
      <c r="E37" s="16">
        <f>SUM(E35:E36)</f>
        <v>13138019.388875961</v>
      </c>
      <c r="F37" s="17"/>
      <c r="G37" s="66">
        <f>H37/$C37</f>
        <v>17.16899525478654</v>
      </c>
      <c r="H37" s="16">
        <f>SUM(H35:H36)</f>
        <v>1606849.7212584347</v>
      </c>
      <c r="I37" s="17"/>
      <c r="J37" s="66">
        <f>K37/$C37</f>
        <v>123.20915558326956</v>
      </c>
      <c r="K37" s="67">
        <f>SUM(K35:K36)</f>
        <v>11531169.667617526</v>
      </c>
      <c r="L37" s="675">
        <f t="shared" si="3"/>
        <v>0.0507902192424713</v>
      </c>
      <c r="M37" s="695"/>
      <c r="N37" s="696">
        <f t="shared" si="4"/>
        <v>0.06417136057860606</v>
      </c>
      <c r="O37" s="19"/>
      <c r="P37" s="21">
        <f>SUM(P35:P36)</f>
        <v>0</v>
      </c>
      <c r="Q37" s="675">
        <f t="shared" si="5"/>
        <v>0</v>
      </c>
      <c r="R37" s="675"/>
      <c r="S37" s="701">
        <f t="shared" si="6"/>
        <v>0</v>
      </c>
    </row>
    <row r="38" spans="1:19" s="55" customFormat="1" ht="7.5" customHeight="1">
      <c r="A38" s="68"/>
      <c r="B38" s="69"/>
      <c r="C38" s="498"/>
      <c r="D38" s="71"/>
      <c r="E38" s="72"/>
      <c r="F38" s="73"/>
      <c r="G38" s="74"/>
      <c r="H38" s="72"/>
      <c r="I38" s="73"/>
      <c r="J38" s="74"/>
      <c r="K38" s="75"/>
      <c r="L38" s="676"/>
      <c r="M38" s="697"/>
      <c r="N38" s="698"/>
      <c r="O38" s="76"/>
      <c r="P38" s="78"/>
      <c r="Q38" s="676"/>
      <c r="R38" s="676"/>
      <c r="S38" s="709"/>
    </row>
    <row r="39" spans="1:19" s="3" customFormat="1" ht="15" customHeight="1">
      <c r="A39" s="79" t="s">
        <v>35</v>
      </c>
      <c r="B39" s="80"/>
      <c r="C39" s="499">
        <f>C41-C12</f>
        <v>449532.40942633443</v>
      </c>
      <c r="D39" s="15">
        <f>ROUND(E39/C39,1)</f>
        <v>564.5</v>
      </c>
      <c r="E39" s="81">
        <f>E41-E12</f>
        <v>253749908.13686752</v>
      </c>
      <c r="F39" s="82"/>
      <c r="G39" s="66">
        <f>H39/$C39</f>
        <v>164.74120935017748</v>
      </c>
      <c r="H39" s="81">
        <f>H41-H12</f>
        <v>74056512.77099346</v>
      </c>
      <c r="I39" s="82"/>
      <c r="J39" s="66">
        <f>K39/$C39</f>
        <v>399.73401605278633</v>
      </c>
      <c r="K39" s="83">
        <f>K41-K12</f>
        <v>179693395.36587408</v>
      </c>
      <c r="L39" s="677">
        <f>K39/K$41</f>
        <v>0.7914779862000327</v>
      </c>
      <c r="M39" s="687"/>
      <c r="N39" s="688">
        <f>N37+N34+N31+N27+N20</f>
        <v>0.9999999999999998</v>
      </c>
      <c r="O39" s="40"/>
      <c r="P39" s="42">
        <f>P41-P12</f>
        <v>181574413.13149488</v>
      </c>
      <c r="Q39" s="677"/>
      <c r="R39" s="677"/>
      <c r="S39" s="703"/>
    </row>
    <row r="40" spans="1:19" s="55" customFormat="1" ht="6.75" customHeight="1">
      <c r="A40" s="68"/>
      <c r="B40" s="69"/>
      <c r="C40" s="498"/>
      <c r="D40" s="84"/>
      <c r="E40" s="72"/>
      <c r="F40" s="73"/>
      <c r="G40" s="85"/>
      <c r="H40" s="72"/>
      <c r="I40" s="73"/>
      <c r="J40" s="85"/>
      <c r="K40" s="75"/>
      <c r="L40" s="676"/>
      <c r="M40" s="697"/>
      <c r="N40" s="698"/>
      <c r="O40" s="76"/>
      <c r="P40" s="78"/>
      <c r="Q40" s="676"/>
      <c r="R40" s="676"/>
      <c r="S40" s="709"/>
    </row>
    <row r="41" spans="1:19" ht="17.25" customHeight="1" thickBot="1">
      <c r="A41" s="86" t="s">
        <v>26</v>
      </c>
      <c r="B41" s="87"/>
      <c r="C41" s="500">
        <f>C12+C20+C27+C31+C34+C37</f>
        <v>900134.5447363169</v>
      </c>
      <c r="D41" s="88">
        <f>ROUND(E41/C41,1)</f>
        <v>375.4</v>
      </c>
      <c r="E41" s="89">
        <f>E12+E20+E27+E31+E34+E37</f>
        <v>337869916.6052436</v>
      </c>
      <c r="F41" s="90"/>
      <c r="G41" s="91">
        <f>H41/C41</f>
        <v>123.13123213037147</v>
      </c>
      <c r="H41" s="89">
        <f>H12+H20+H27+H31+H34+H37</f>
        <v>110834675.57649368</v>
      </c>
      <c r="I41" s="90"/>
      <c r="J41" s="88">
        <f>K41/C41</f>
        <v>252.22367295686567</v>
      </c>
      <c r="K41" s="92">
        <f>K12+K20+K27+K31+K34+K37</f>
        <v>227035241.02874997</v>
      </c>
      <c r="L41" s="682">
        <f>L12+L20+L27+L31+L34+L37</f>
        <v>0.9999999999999999</v>
      </c>
      <c r="M41" s="699"/>
      <c r="N41" s="700"/>
      <c r="O41" s="93"/>
      <c r="P41" s="94">
        <f>P12+P20+P27+P31+P34+P37</f>
        <v>182595351.43368596</v>
      </c>
      <c r="Q41" s="682">
        <f>P41/P$41</f>
        <v>1</v>
      </c>
      <c r="R41" s="682"/>
      <c r="S41" s="710">
        <f>S20+S27+S31+S34+S37</f>
        <v>1</v>
      </c>
    </row>
    <row r="42" spans="1:19" ht="9.75" customHeight="1" thickBot="1" thickTop="1">
      <c r="A42" s="95"/>
      <c r="B42" s="545"/>
      <c r="C42" s="546"/>
      <c r="D42" s="547"/>
      <c r="E42" s="548"/>
      <c r="F42" s="549"/>
      <c r="G42" s="550"/>
      <c r="H42" s="548"/>
      <c r="I42" s="549"/>
      <c r="J42" s="550"/>
      <c r="K42" s="551"/>
      <c r="L42" s="552"/>
      <c r="M42" s="553"/>
      <c r="N42" s="553"/>
      <c r="O42" s="554"/>
      <c r="P42" s="555"/>
      <c r="Q42" s="556"/>
      <c r="R42" s="504"/>
      <c r="S42" s="557"/>
    </row>
    <row r="43" spans="1:19" ht="19.5" customHeight="1" thickBot="1">
      <c r="A43" s="96"/>
      <c r="B43" s="558"/>
      <c r="C43" s="559"/>
      <c r="D43" s="560"/>
      <c r="E43" s="561"/>
      <c r="F43" s="562"/>
      <c r="G43" s="553"/>
      <c r="H43" s="563"/>
      <c r="I43" s="564"/>
      <c r="J43" s="565" t="s">
        <v>16</v>
      </c>
      <c r="K43" s="566">
        <f>K41/2</f>
        <v>113517620.51437499</v>
      </c>
      <c r="L43" s="552"/>
      <c r="M43" s="553"/>
      <c r="N43" s="553"/>
      <c r="O43" s="567"/>
      <c r="P43" s="509"/>
      <c r="Q43" s="568"/>
      <c r="R43" s="568"/>
      <c r="S43" s="569"/>
    </row>
    <row r="44" spans="5:10" ht="12.75">
      <c r="E44" s="570"/>
      <c r="G44" s="570"/>
      <c r="H44" s="571"/>
      <c r="I44" s="571"/>
      <c r="J44" s="572"/>
    </row>
    <row r="45" spans="2:10" ht="12.75">
      <c r="B45" s="415"/>
      <c r="C45" s="573"/>
      <c r="D45" s="607"/>
      <c r="E45" s="574"/>
      <c r="F45" s="469"/>
      <c r="G45" s="574"/>
      <c r="H45" s="608"/>
      <c r="I45" s="50"/>
      <c r="J45" s="574"/>
    </row>
    <row r="46" spans="2:10" ht="15">
      <c r="B46" s="415"/>
      <c r="C46" s="573"/>
      <c r="D46" s="578"/>
      <c r="E46" s="574"/>
      <c r="F46" s="575"/>
      <c r="G46" s="574"/>
      <c r="H46" s="609"/>
      <c r="I46" s="415"/>
      <c r="J46" s="574"/>
    </row>
    <row r="47" spans="2:11" ht="12.75">
      <c r="B47" s="415"/>
      <c r="C47" s="576"/>
      <c r="D47" s="577"/>
      <c r="E47" s="574"/>
      <c r="F47" s="574"/>
      <c r="G47" s="583"/>
      <c r="H47" s="578"/>
      <c r="I47" s="578"/>
      <c r="J47" s="574"/>
      <c r="K47" s="867"/>
    </row>
    <row r="48" spans="2:10" ht="12.75">
      <c r="B48" s="415"/>
      <c r="C48" s="576"/>
      <c r="D48" s="577"/>
      <c r="E48" s="574"/>
      <c r="F48" s="50"/>
      <c r="G48" s="574"/>
      <c r="H48" s="578"/>
      <c r="I48" s="578"/>
      <c r="J48" s="574"/>
    </row>
    <row r="49" spans="2:10" ht="12.75">
      <c r="B49" s="415"/>
      <c r="C49" s="576"/>
      <c r="D49" s="577"/>
      <c r="E49" s="579"/>
      <c r="F49" s="50"/>
      <c r="G49" s="579"/>
      <c r="H49" s="578"/>
      <c r="I49" s="578"/>
      <c r="J49" s="574"/>
    </row>
    <row r="50" spans="2:10" ht="12.75">
      <c r="B50" s="415"/>
      <c r="C50" s="573"/>
      <c r="D50" s="577"/>
      <c r="E50" s="574"/>
      <c r="F50" s="580"/>
      <c r="G50" s="574"/>
      <c r="H50" s="578"/>
      <c r="I50" s="578"/>
      <c r="J50" s="574"/>
    </row>
    <row r="51" spans="3:10" ht="12.75">
      <c r="C51" s="581"/>
      <c r="D51" s="582"/>
      <c r="E51" s="570"/>
      <c r="G51" s="570"/>
      <c r="H51" s="571"/>
      <c r="I51" s="571"/>
      <c r="J51" s="570"/>
    </row>
    <row r="52" spans="5:10" ht="12.75">
      <c r="E52" s="570"/>
      <c r="G52" s="570"/>
      <c r="H52" s="571"/>
      <c r="I52" s="571"/>
      <c r="J52" s="570"/>
    </row>
    <row r="53" spans="5:10" ht="12.75">
      <c r="E53" s="570"/>
      <c r="G53" s="570"/>
      <c r="H53" s="571"/>
      <c r="I53" s="571"/>
      <c r="J53" s="570"/>
    </row>
    <row r="54" spans="5:10" ht="12.75">
      <c r="E54" s="570"/>
      <c r="G54" s="570"/>
      <c r="H54" s="571"/>
      <c r="I54" s="571"/>
      <c r="J54" s="570"/>
    </row>
    <row r="55" spans="5:10" ht="12.75">
      <c r="E55" s="570"/>
      <c r="G55" s="570"/>
      <c r="H55" s="571"/>
      <c r="I55" s="571"/>
      <c r="J55" s="570"/>
    </row>
  </sheetData>
  <sheetProtection password="D6C3" sheet="1"/>
  <mergeCells count="5">
    <mergeCell ref="A3:E3"/>
    <mergeCell ref="P4:S4"/>
    <mergeCell ref="J4:N4"/>
    <mergeCell ref="G4:H4"/>
    <mergeCell ref="D4:E4"/>
  </mergeCells>
  <printOptions/>
  <pageMargins left="0.7480314960629921" right="0.7480314960629921" top="0.984251968503937" bottom="0.984251968503937" header="0.5118110236220472" footer="0.5118110236220472"/>
  <pageSetup fitToHeight="1" fitToWidth="1" horizontalDpi="600" verticalDpi="600" orientation="landscape" scale="53" r:id="rId3"/>
  <headerFooter alignWithMargins="0">
    <oddFooter>&amp;L&amp;12Steward Fee-Setting&amp;R&amp;12Stewardship Ontario, 
July, 2013</oddFooter>
  </headerFooter>
  <legacyDrawing r:id="rId2"/>
</worksheet>
</file>

<file path=xl/worksheets/sheet5.xml><?xml version="1.0" encoding="utf-8"?>
<worksheet xmlns="http://schemas.openxmlformats.org/spreadsheetml/2006/main" xmlns:r="http://schemas.openxmlformats.org/officeDocument/2006/relationships">
  <sheetPr codeName="Sheet7">
    <tabColor indexed="18"/>
    <pageSetUpPr fitToPage="1"/>
  </sheetPr>
  <dimension ref="A1:AL72"/>
  <sheetViews>
    <sheetView showGridLines="0" zoomScale="80" zoomScaleNormal="80" zoomScalePageLayoutView="0" workbookViewId="0" topLeftCell="A1">
      <pane xSplit="2" ySplit="6" topLeftCell="C7" activePane="bottomRight" state="frozen"/>
      <selection pane="topLeft" activeCell="A10" sqref="A10:C20"/>
      <selection pane="topRight" activeCell="A10" sqref="A10:C20"/>
      <selection pane="bottomLeft" activeCell="A10" sqref="A10:C20"/>
      <selection pane="bottomRight" activeCell="C7" sqref="C7"/>
    </sheetView>
  </sheetViews>
  <sheetFormatPr defaultColWidth="9.140625" defaultRowHeight="12.75"/>
  <cols>
    <col min="1" max="1" width="26.8515625" style="3" customWidth="1"/>
    <col min="2" max="2" width="31.00390625" style="2" customWidth="1"/>
    <col min="3" max="3" width="11.8515625" style="2" customWidth="1"/>
    <col min="4" max="4" width="10.421875" style="2" customWidth="1"/>
    <col min="5" max="5" width="16.421875" style="2" bestFit="1" customWidth="1"/>
    <col min="6" max="6" width="14.140625" style="2" customWidth="1"/>
    <col min="7" max="7" width="11.140625" style="5" customWidth="1"/>
    <col min="8" max="8" width="16.00390625" style="5" customWidth="1"/>
    <col min="9" max="9" width="13.421875" style="5" customWidth="1"/>
    <col min="10" max="10" width="14.140625" style="5" customWidth="1"/>
    <col min="11" max="11" width="16.421875" style="2" bestFit="1" customWidth="1"/>
    <col min="12" max="12" width="14.00390625" style="2" customWidth="1"/>
    <col min="13" max="13" width="16.140625" style="2" customWidth="1"/>
    <col min="14" max="14" width="12.7109375" style="5" customWidth="1"/>
    <col min="15" max="15" width="17.00390625" style="504" customWidth="1"/>
    <col min="16" max="17" width="15.28125" style="2" customWidth="1"/>
    <col min="18" max="18" width="19.57421875" style="2" customWidth="1"/>
    <col min="19" max="19" width="14.8515625" style="2" customWidth="1"/>
    <col min="20" max="20" width="19.8515625" style="2" customWidth="1"/>
    <col min="21" max="23" width="16.421875" style="2" customWidth="1"/>
    <col min="24" max="24" width="15.28125" style="2" customWidth="1"/>
    <col min="25" max="25" width="18.00390625" style="2" customWidth="1"/>
    <col min="26" max="26" width="17.57421875" style="2" customWidth="1"/>
    <col min="27" max="27" width="18.57421875" style="99" customWidth="1"/>
    <col min="28" max="28" width="16.421875" style="99" customWidth="1"/>
    <col min="29" max="29" width="15.140625" style="99" customWidth="1"/>
    <col min="30" max="30" width="19.00390625" style="364" bestFit="1" customWidth="1"/>
    <col min="31" max="31" width="19.00390625" style="2" bestFit="1" customWidth="1"/>
    <col min="32" max="32" width="14.00390625" style="2" customWidth="1"/>
    <col min="33" max="33" width="17.8515625" style="2" customWidth="1"/>
    <col min="34" max="34" width="14.00390625" style="2" customWidth="1"/>
    <col min="35" max="35" width="18.57421875" style="2" customWidth="1"/>
    <col min="36" max="36" width="13.8515625" style="2" customWidth="1"/>
    <col min="37" max="37" width="3.421875" style="2" customWidth="1"/>
    <col min="38" max="16384" width="9.140625" style="2" customWidth="1"/>
  </cols>
  <sheetData>
    <row r="1" spans="1:34" s="833" customFormat="1" ht="26.25">
      <c r="A1" s="440" t="s">
        <v>117</v>
      </c>
      <c r="C1" s="834"/>
      <c r="E1" s="835"/>
      <c r="G1" s="836"/>
      <c r="H1" s="836"/>
      <c r="I1" s="836"/>
      <c r="J1" s="836"/>
      <c r="N1" s="836"/>
      <c r="O1" s="836"/>
      <c r="S1" s="304"/>
      <c r="T1" s="304"/>
      <c r="U1" s="304"/>
      <c r="V1" s="304"/>
      <c r="W1" s="304"/>
      <c r="X1" s="304"/>
      <c r="Y1" s="961"/>
      <c r="Z1" s="304"/>
      <c r="AH1" s="837"/>
    </row>
    <row r="2" spans="1:30" ht="24.75" customHeight="1" thickBot="1">
      <c r="A2" s="985"/>
      <c r="B2" s="985"/>
      <c r="C2" s="787"/>
      <c r="D2" s="787"/>
      <c r="E2" s="787"/>
      <c r="F2" s="787"/>
      <c r="G2" s="880"/>
      <c r="H2" s="787"/>
      <c r="I2" s="787"/>
      <c r="J2" s="2"/>
      <c r="K2" s="98"/>
      <c r="L2" s="5"/>
      <c r="N2" s="3"/>
      <c r="O2" s="3"/>
      <c r="X2" s="102"/>
      <c r="AA2" s="2"/>
      <c r="AB2" s="308"/>
      <c r="AC2" s="308"/>
      <c r="AD2" s="2"/>
    </row>
    <row r="3" spans="1:36" ht="16.5" thickBot="1">
      <c r="A3" s="450"/>
      <c r="B3" s="5"/>
      <c r="C3" s="996" t="s">
        <v>54</v>
      </c>
      <c r="D3" s="997"/>
      <c r="E3" s="997"/>
      <c r="F3" s="998"/>
      <c r="G3" s="1007" t="s">
        <v>30</v>
      </c>
      <c r="H3" s="1008"/>
      <c r="I3" s="1009"/>
      <c r="J3" s="999" t="s">
        <v>31</v>
      </c>
      <c r="K3" s="1000"/>
      <c r="L3" s="1001"/>
      <c r="N3" s="3"/>
      <c r="O3" s="3"/>
      <c r="Z3" s="385"/>
      <c r="AA3" s="2"/>
      <c r="AB3" s="308"/>
      <c r="AC3" s="308"/>
      <c r="AD3" s="2"/>
      <c r="AI3" s="1032"/>
      <c r="AJ3" s="1032"/>
    </row>
    <row r="4" spans="1:36" s="320" customFormat="1" ht="64.5" customHeight="1">
      <c r="A4" s="451" t="s">
        <v>19</v>
      </c>
      <c r="B4" s="449" t="s">
        <v>15</v>
      </c>
      <c r="C4" s="986" t="s">
        <v>98</v>
      </c>
      <c r="D4" s="988" t="s">
        <v>71</v>
      </c>
      <c r="E4" s="994" t="s">
        <v>78</v>
      </c>
      <c r="F4" s="990" t="s">
        <v>79</v>
      </c>
      <c r="G4" s="992" t="s">
        <v>12</v>
      </c>
      <c r="H4" s="1022" t="s">
        <v>80</v>
      </c>
      <c r="I4" s="1018" t="s">
        <v>81</v>
      </c>
      <c r="J4" s="1016" t="s">
        <v>141</v>
      </c>
      <c r="K4" s="1020" t="s">
        <v>82</v>
      </c>
      <c r="L4" s="1024" t="s">
        <v>83</v>
      </c>
      <c r="M4" s="1005" t="s">
        <v>84</v>
      </c>
      <c r="N4" s="1012" t="s">
        <v>85</v>
      </c>
      <c r="O4" s="922"/>
      <c r="P4" s="1002" t="s">
        <v>62</v>
      </c>
      <c r="Q4" s="1003"/>
      <c r="R4" s="1004"/>
      <c r="S4" s="1014" t="s">
        <v>169</v>
      </c>
      <c r="T4" s="1014" t="s">
        <v>170</v>
      </c>
      <c r="U4" s="1014" t="s">
        <v>136</v>
      </c>
      <c r="V4" s="1014" t="s">
        <v>212</v>
      </c>
      <c r="W4" s="1014" t="s">
        <v>214</v>
      </c>
      <c r="X4" s="1028" t="s">
        <v>213</v>
      </c>
      <c r="Y4" s="1030" t="s">
        <v>86</v>
      </c>
      <c r="Z4" s="1010" t="s">
        <v>162</v>
      </c>
      <c r="AA4" s="1026" t="s">
        <v>112</v>
      </c>
      <c r="AB4" s="782" t="s">
        <v>125</v>
      </c>
      <c r="AC4" s="782" t="s">
        <v>126</v>
      </c>
      <c r="AD4" s="1026" t="s">
        <v>144</v>
      </c>
      <c r="AE4" s="1026" t="s">
        <v>142</v>
      </c>
      <c r="AF4" s="372" t="s">
        <v>195</v>
      </c>
      <c r="AG4" s="1033" t="s">
        <v>129</v>
      </c>
      <c r="AH4" s="1034"/>
      <c r="AI4" s="1033" t="s">
        <v>130</v>
      </c>
      <c r="AJ4" s="1034"/>
    </row>
    <row r="5" spans="1:36" s="320" customFormat="1" ht="42" customHeight="1" thickBot="1">
      <c r="A5" s="312"/>
      <c r="B5" s="373"/>
      <c r="C5" s="987"/>
      <c r="D5" s="989"/>
      <c r="E5" s="995"/>
      <c r="F5" s="991"/>
      <c r="G5" s="993"/>
      <c r="H5" s="1023"/>
      <c r="I5" s="1019"/>
      <c r="J5" s="1017"/>
      <c r="K5" s="1021"/>
      <c r="L5" s="1025"/>
      <c r="M5" s="1006"/>
      <c r="N5" s="1013"/>
      <c r="O5" s="923" t="s">
        <v>171</v>
      </c>
      <c r="P5" s="487" t="s">
        <v>87</v>
      </c>
      <c r="Q5" s="488" t="s">
        <v>121</v>
      </c>
      <c r="R5" s="488" t="s">
        <v>122</v>
      </c>
      <c r="S5" s="1015"/>
      <c r="T5" s="1015"/>
      <c r="U5" s="1015"/>
      <c r="V5" s="1015"/>
      <c r="W5" s="1015"/>
      <c r="X5" s="1029"/>
      <c r="Y5" s="1031"/>
      <c r="Z5" s="1011"/>
      <c r="AA5" s="1027"/>
      <c r="AB5" s="783"/>
      <c r="AC5" s="783"/>
      <c r="AD5" s="1027"/>
      <c r="AE5" s="1027"/>
      <c r="AF5" s="383" t="s">
        <v>58</v>
      </c>
      <c r="AG5" s="485" t="s">
        <v>17</v>
      </c>
      <c r="AH5" s="486" t="s">
        <v>63</v>
      </c>
      <c r="AI5" s="485" t="s">
        <v>17</v>
      </c>
      <c r="AJ5" s="486" t="s">
        <v>63</v>
      </c>
    </row>
    <row r="6" spans="1:36" s="3" customFormat="1" ht="16.5" thickBot="1">
      <c r="A6" s="106"/>
      <c r="B6" s="630" t="s">
        <v>18</v>
      </c>
      <c r="C6" s="639">
        <f>Inputs!B4/100</f>
        <v>0.35</v>
      </c>
      <c r="D6" s="633"/>
      <c r="E6" s="107"/>
      <c r="F6" s="631"/>
      <c r="G6" s="640">
        <f>Inputs!B5/100</f>
        <v>0.4</v>
      </c>
      <c r="H6" s="634"/>
      <c r="I6" s="632"/>
      <c r="J6" s="641">
        <f>Inputs!B6/100</f>
        <v>0.25</v>
      </c>
      <c r="K6" s="635"/>
      <c r="L6" s="108"/>
      <c r="M6" s="109"/>
      <c r="N6" s="400"/>
      <c r="O6" s="924">
        <v>0</v>
      </c>
      <c r="P6" s="489">
        <v>0</v>
      </c>
      <c r="Q6" s="789">
        <v>0</v>
      </c>
      <c r="R6" s="110">
        <v>0</v>
      </c>
      <c r="S6" s="112">
        <f>+Parameters!B16</f>
        <v>978000</v>
      </c>
      <c r="T6" s="112">
        <f>+Parameters!B17</f>
        <v>200000</v>
      </c>
      <c r="U6" s="112">
        <f>+Parameters!B18</f>
        <v>4182897.47</v>
      </c>
      <c r="V6" s="112">
        <f>+Parameters!B19</f>
        <v>225000</v>
      </c>
      <c r="W6" s="112">
        <f>+Parameters!B20</f>
        <v>50000</v>
      </c>
      <c r="X6" s="112">
        <f>+Parameters!B21</f>
        <v>600000</v>
      </c>
      <c r="Y6" s="113"/>
      <c r="Z6" s="114"/>
      <c r="AA6" s="115"/>
      <c r="AB6" s="386"/>
      <c r="AC6" s="386"/>
      <c r="AD6" s="115"/>
      <c r="AE6" s="115"/>
      <c r="AF6" s="374"/>
      <c r="AG6" s="106"/>
      <c r="AH6" s="4"/>
      <c r="AI6" s="116"/>
      <c r="AJ6" s="117"/>
    </row>
    <row r="7" spans="1:36" s="55" customFormat="1" ht="15" customHeight="1">
      <c r="A7" s="118" t="s">
        <v>34</v>
      </c>
      <c r="B7" s="119"/>
      <c r="C7" s="636"/>
      <c r="D7" s="122"/>
      <c r="E7" s="123"/>
      <c r="F7" s="124"/>
      <c r="G7" s="637"/>
      <c r="H7" s="125"/>
      <c r="I7" s="126"/>
      <c r="J7" s="638"/>
      <c r="K7" s="127"/>
      <c r="L7" s="128"/>
      <c r="M7" s="129"/>
      <c r="N7" s="401"/>
      <c r="O7" s="925"/>
      <c r="P7" s="130"/>
      <c r="Q7" s="790"/>
      <c r="R7" s="131"/>
      <c r="S7" s="132"/>
      <c r="T7" s="132"/>
      <c r="U7" s="132"/>
      <c r="V7" s="132"/>
      <c r="W7" s="132"/>
      <c r="X7" s="132"/>
      <c r="Y7" s="133"/>
      <c r="Z7" s="134"/>
      <c r="AA7" s="135"/>
      <c r="AB7" s="439"/>
      <c r="AC7" s="439"/>
      <c r="AD7" s="135"/>
      <c r="AE7" s="135"/>
      <c r="AF7" s="375"/>
      <c r="AG7" s="737"/>
      <c r="AH7" s="728"/>
      <c r="AI7" s="136"/>
      <c r="AJ7" s="137"/>
    </row>
    <row r="8" spans="1:38" s="55" customFormat="1" ht="15" customHeight="1">
      <c r="A8" s="138" t="s">
        <v>0</v>
      </c>
      <c r="B8" s="23" t="s">
        <v>89</v>
      </c>
      <c r="C8" s="588">
        <f>'Sheet 1 Gen &amp; Rec'!H7</f>
        <v>7792.7933508307615</v>
      </c>
      <c r="D8" s="711">
        <f aca="true" t="shared" si="0" ref="D8:D13">C8/$C$13</f>
        <v>0.09753396382138133</v>
      </c>
      <c r="E8" s="139">
        <f>D8*$E$40</f>
        <v>808051.625871062</v>
      </c>
      <c r="F8" s="140">
        <f aca="true" t="shared" si="1" ref="F8:F13">E8/AF8</f>
        <v>5.532360253368253</v>
      </c>
      <c r="G8" s="716">
        <f>'Sheet 2 Gross &amp; Net Costs'!M7</f>
        <v>0.4141677523627608</v>
      </c>
      <c r="H8" s="141">
        <f aca="true" t="shared" si="2" ref="H8:H13">G8*H$40</f>
        <v>3921493.162179604</v>
      </c>
      <c r="I8" s="142">
        <f aca="true" t="shared" si="3" ref="I8:I13">H8/AF8</f>
        <v>26.84867180473892</v>
      </c>
      <c r="J8" s="722">
        <f>'Sheet 2 Gross &amp; Net Costs'!R7</f>
        <v>0</v>
      </c>
      <c r="K8" s="143">
        <f aca="true" t="shared" si="4" ref="K8:K13">J8*K$40</f>
        <v>0</v>
      </c>
      <c r="L8" s="144">
        <f aca="true" t="shared" si="5" ref="L8:L13">K8/AF8</f>
        <v>0</v>
      </c>
      <c r="M8" s="145">
        <f aca="true" t="shared" si="6" ref="M8:M13">K8+E8+H8</f>
        <v>4729544.788050666</v>
      </c>
      <c r="N8" s="402">
        <f aca="true" t="shared" si="7" ref="N8:N13">M8/AF8</f>
        <v>32.381032058107174</v>
      </c>
      <c r="O8" s="933">
        <f>+$O$6*$C$6*C8/($C$13+$C$21+$C$28+$C$32+$C$35+$C$38)+$O$6*$G$6*'Sheet 2 Gross &amp; Net Costs'!K7/'Sheet 2 Gross &amp; Net Costs'!$K$41+$O$6*'Sheet 3 Disaggregated Fees'!$J$6*'Sheet 2 Gross &amp; Net Costs'!P7/'Sheet 2 Gross &amp; Net Costs'!$P$41</f>
        <v>0</v>
      </c>
      <c r="P8" s="823"/>
      <c r="Q8" s="791"/>
      <c r="R8" s="146"/>
      <c r="S8" s="147">
        <f>S$6*'Sheet 1 Gen &amp; Rec'!$O7</f>
        <v>58846.3296106436</v>
      </c>
      <c r="T8" s="147">
        <f>T$6*'Sheet 1 Gen &amp; Rec'!$O7</f>
        <v>12034.01423530544</v>
      </c>
      <c r="U8" s="147">
        <f>U$6*'Sheet 1 Gen &amp; Rec'!$O7</f>
        <v>251685.23849401556</v>
      </c>
      <c r="V8" s="147">
        <f>V$6*'Sheet 1 Gen &amp; Rec'!$O7</f>
        <v>13538.26601471862</v>
      </c>
      <c r="W8" s="147"/>
      <c r="X8" s="147">
        <f>X$6*'Sheet 1 Gen &amp; Rec'!$O7</f>
        <v>36102.04270591632</v>
      </c>
      <c r="Y8" s="148">
        <f>SUM(M8,O8:X8)</f>
        <v>5101750.679111266</v>
      </c>
      <c r="Z8" s="149">
        <f>M8</f>
        <v>4729544.788050666</v>
      </c>
      <c r="AA8" s="150">
        <f>Y8-Z8</f>
        <v>372205.8910605991</v>
      </c>
      <c r="AB8" s="388">
        <f aca="true" t="shared" si="8" ref="AB8:AB13">M8</f>
        <v>4729544.788050666</v>
      </c>
      <c r="AC8" s="388">
        <f>SUM(P8:X8)</f>
        <v>372205.89106059953</v>
      </c>
      <c r="AD8" s="150">
        <f>AA8</f>
        <v>372205.8910605991</v>
      </c>
      <c r="AE8" s="150">
        <f>AA8+Z8</f>
        <v>5101750.679111266</v>
      </c>
      <c r="AF8" s="376">
        <f>+VLOOKUP(B8,Parameters!$D$6:$E$28,2,0)</f>
        <v>146059.112</v>
      </c>
      <c r="AG8" s="738">
        <f>AD8/AF8</f>
        <v>2.548323661317338</v>
      </c>
      <c r="AH8" s="729">
        <f>AG8/1000*100</f>
        <v>0.2548323661317338</v>
      </c>
      <c r="AI8" s="151">
        <f aca="true" t="shared" si="9" ref="AI8:AI13">AE8/AF8</f>
        <v>34.929355719424514</v>
      </c>
      <c r="AJ8" s="152">
        <f>AI8/1000*100</f>
        <v>3.4929355719424517</v>
      </c>
      <c r="AK8" s="809"/>
      <c r="AL8" s="938"/>
    </row>
    <row r="9" spans="1:38" s="55" customFormat="1" ht="15" customHeight="1">
      <c r="A9" s="153"/>
      <c r="B9" s="25" t="s">
        <v>65</v>
      </c>
      <c r="C9" s="588">
        <f>'Sheet 1 Gen &amp; Rec'!H8</f>
        <v>5125.761584652384</v>
      </c>
      <c r="D9" s="711">
        <f t="shared" si="0"/>
        <v>0.06415361250420114</v>
      </c>
      <c r="E9" s="139">
        <f>D9*$E$40</f>
        <v>531501.323830721</v>
      </c>
      <c r="F9" s="140">
        <f t="shared" si="1"/>
        <v>4.420152502289053</v>
      </c>
      <c r="G9" s="716">
        <f>'Sheet 2 Gross &amp; Net Costs'!M8</f>
        <v>0.27242158993431315</v>
      </c>
      <c r="H9" s="141">
        <f t="shared" si="2"/>
        <v>2579388.173181103</v>
      </c>
      <c r="I9" s="142">
        <f t="shared" si="3"/>
        <v>21.45110195754181</v>
      </c>
      <c r="J9" s="722">
        <f>'Sheet 2 Gross &amp; Net Costs'!R8</f>
        <v>0</v>
      </c>
      <c r="K9" s="143">
        <f t="shared" si="4"/>
        <v>0</v>
      </c>
      <c r="L9" s="144">
        <f t="shared" si="5"/>
        <v>0</v>
      </c>
      <c r="M9" s="145">
        <f t="shared" si="6"/>
        <v>3110889.497011824</v>
      </c>
      <c r="N9" s="402">
        <f t="shared" si="7"/>
        <v>25.871254459830865</v>
      </c>
      <c r="O9" s="933">
        <f>+$O$6*$C$6*C9/($C$13+$C$21+$C$28+$C$32+$C$35+$C$38)+$O$6*$G$6*'Sheet 2 Gross &amp; Net Costs'!K8/'Sheet 2 Gross &amp; Net Costs'!$K$41+$O$6*'Sheet 3 Disaggregated Fees'!$J$6*'Sheet 2 Gross &amp; Net Costs'!P8/'Sheet 2 Gross &amp; Net Costs'!$P$41</f>
        <v>0</v>
      </c>
      <c r="P9" s="824"/>
      <c r="Q9" s="791"/>
      <c r="R9" s="159"/>
      <c r="S9" s="147">
        <f>S$6*'Sheet 1 Gen &amp; Rec'!$O8</f>
        <v>38706.5641467155</v>
      </c>
      <c r="T9" s="147">
        <f>T$6*'Sheet 1 Gen &amp; Rec'!$O8</f>
        <v>7915.452790739366</v>
      </c>
      <c r="U9" s="147">
        <f>U$6*'Sheet 1 Gen &amp; Rec'!$O8</f>
        <v>165547.6372614407</v>
      </c>
      <c r="V9" s="147">
        <f>V$6*'Sheet 1 Gen &amp; Rec'!$O8</f>
        <v>8904.884389581786</v>
      </c>
      <c r="W9" s="147"/>
      <c r="X9" s="147">
        <f>X$6*'Sheet 1 Gen &amp; Rec'!$O8</f>
        <v>23746.3583722181</v>
      </c>
      <c r="Y9" s="148">
        <f>SUM(M9,O9:X9)</f>
        <v>3355710.3939725193</v>
      </c>
      <c r="Z9" s="154"/>
      <c r="AA9" s="150">
        <f>Y9-Z9</f>
        <v>3355710.3939725193</v>
      </c>
      <c r="AB9" s="388">
        <f t="shared" si="8"/>
        <v>3110889.497011824</v>
      </c>
      <c r="AC9" s="388">
        <f>SUM(P9:X9)</f>
        <v>244820.89696069545</v>
      </c>
      <c r="AD9" s="150">
        <f>AA9</f>
        <v>3355710.3939725193</v>
      </c>
      <c r="AE9" s="150">
        <f>AA9+Z9</f>
        <v>3355710.3939725193</v>
      </c>
      <c r="AF9" s="376">
        <f>+VLOOKUP(B9,Parameters!$D$6:$E$28,2,0)</f>
        <v>120245.0195</v>
      </c>
      <c r="AG9" s="738">
        <f>AD9/AF9</f>
        <v>27.90727140239284</v>
      </c>
      <c r="AH9" s="730">
        <f>AG9/1000*100</f>
        <v>2.790727140239284</v>
      </c>
      <c r="AI9" s="151">
        <f t="shared" si="9"/>
        <v>27.90727140239284</v>
      </c>
      <c r="AJ9" s="160">
        <f>AI9/1000*100</f>
        <v>2.790727140239284</v>
      </c>
      <c r="AK9" s="808"/>
      <c r="AL9" s="938"/>
    </row>
    <row r="10" spans="1:38" s="99" customFormat="1" ht="15" customHeight="1">
      <c r="A10" s="22"/>
      <c r="B10" s="155" t="s">
        <v>3</v>
      </c>
      <c r="C10" s="588">
        <f>'Sheet 1 Gen &amp; Rec'!H9</f>
        <v>9036.13646402939</v>
      </c>
      <c r="D10" s="711">
        <f t="shared" si="0"/>
        <v>0.11309554447170754</v>
      </c>
      <c r="E10" s="139">
        <f>D10*$E$40</f>
        <v>936976.5670192364</v>
      </c>
      <c r="F10" s="156">
        <f t="shared" si="1"/>
        <v>23.112306398802207</v>
      </c>
      <c r="G10" s="716">
        <f>'Sheet 2 Gross &amp; Net Costs'!M9</f>
        <v>0.13809335096392944</v>
      </c>
      <c r="H10" s="141">
        <f t="shared" si="2"/>
        <v>1307518.82168074</v>
      </c>
      <c r="I10" s="157">
        <f t="shared" si="3"/>
        <v>32.25243479143024</v>
      </c>
      <c r="J10" s="722">
        <f>'Sheet 2 Gross &amp; Net Costs'!R9</f>
        <v>0</v>
      </c>
      <c r="K10" s="143">
        <f t="shared" si="4"/>
        <v>0</v>
      </c>
      <c r="L10" s="158">
        <f t="shared" si="5"/>
        <v>0</v>
      </c>
      <c r="M10" s="145">
        <f t="shared" si="6"/>
        <v>2244495.3886999763</v>
      </c>
      <c r="N10" s="403">
        <f t="shared" si="7"/>
        <v>55.364741190232444</v>
      </c>
      <c r="O10" s="933">
        <f>+$O$6*$C$6*C10/($C$13+$C$21+$C$28+$C$32+$C$35+$C$38)+$O$6*$G$6*'Sheet 2 Gross &amp; Net Costs'!K9/'Sheet 2 Gross &amp; Net Costs'!$K$41+$O$6*'Sheet 3 Disaggregated Fees'!$J$6*'Sheet 2 Gross &amp; Net Costs'!P9/'Sheet 2 Gross &amp; Net Costs'!$P$41</f>
        <v>0</v>
      </c>
      <c r="P10" s="824"/>
      <c r="Q10" s="791"/>
      <c r="R10" s="159"/>
      <c r="S10" s="147">
        <f>S$6*'Sheet 1 Gen &amp; Rec'!$O9</f>
        <v>15681.563555172772</v>
      </c>
      <c r="T10" s="147">
        <f>T$6*'Sheet 1 Gen &amp; Rec'!$O9</f>
        <v>3206.8637127142683</v>
      </c>
      <c r="U10" s="147">
        <f>U$6*'Sheet 1 Gen &amp; Rec'!$O9</f>
        <v>67069.9105527366</v>
      </c>
      <c r="V10" s="147">
        <f>V$6*'Sheet 1 Gen &amp; Rec'!$O9</f>
        <v>3607.721676803552</v>
      </c>
      <c r="W10" s="147"/>
      <c r="X10" s="147">
        <f>X$6*'Sheet 1 Gen &amp; Rec'!$O9</f>
        <v>9620.591138142805</v>
      </c>
      <c r="Y10" s="148">
        <f>SUM(M10,O10:X10)</f>
        <v>2343682.039335546</v>
      </c>
      <c r="Z10" s="154"/>
      <c r="AA10" s="150">
        <f>Y10-Z10</f>
        <v>2343682.039335546</v>
      </c>
      <c r="AB10" s="388">
        <f t="shared" si="8"/>
        <v>2244495.3886999763</v>
      </c>
      <c r="AC10" s="388">
        <f>SUM(P10:X10)</f>
        <v>99186.65063557001</v>
      </c>
      <c r="AD10" s="150">
        <f>AA10</f>
        <v>2343682.039335546</v>
      </c>
      <c r="AE10" s="150">
        <f>AA10+Z10</f>
        <v>2343682.039335546</v>
      </c>
      <c r="AF10" s="376">
        <f>+VLOOKUP(B10,Parameters!$D$6:$E$28,2,0)</f>
        <v>40540.1586</v>
      </c>
      <c r="AG10" s="738">
        <f>AD10/AF10</f>
        <v>57.811368289406396</v>
      </c>
      <c r="AH10" s="730">
        <f>AG10/1000*100</f>
        <v>5.78113682894064</v>
      </c>
      <c r="AI10" s="151">
        <f t="shared" si="9"/>
        <v>57.811368289406396</v>
      </c>
      <c r="AJ10" s="160">
        <f aca="true" t="shared" si="10" ref="AJ10:AJ37">AI10/1000*100</f>
        <v>5.78113682894064</v>
      </c>
      <c r="AK10" s="807"/>
      <c r="AL10" s="938"/>
    </row>
    <row r="11" spans="1:38" s="99" customFormat="1" ht="15" customHeight="1">
      <c r="A11" s="27"/>
      <c r="B11" s="161" t="s">
        <v>1</v>
      </c>
      <c r="C11" s="588">
        <f>'Sheet 1 Gen &amp; Rec'!H10</f>
        <v>311.2194630846543</v>
      </c>
      <c r="D11" s="711">
        <f t="shared" si="0"/>
        <v>0.0038951973299500386</v>
      </c>
      <c r="E11" s="139">
        <f>D11*$E$40</f>
        <v>32271.020393664665</v>
      </c>
      <c r="F11" s="156">
        <f t="shared" si="1"/>
        <v>7.930223219673179</v>
      </c>
      <c r="G11" s="716">
        <f>'Sheet 2 Gross &amp; Net Costs'!M10</f>
        <v>0.01813245808368432</v>
      </c>
      <c r="H11" s="162">
        <f t="shared" si="2"/>
        <v>171684.80641726987</v>
      </c>
      <c r="I11" s="157">
        <f t="shared" si="3"/>
        <v>42.189519318162404</v>
      </c>
      <c r="J11" s="722">
        <f>'Sheet 2 Gross &amp; Net Costs'!R10</f>
        <v>0</v>
      </c>
      <c r="K11" s="163">
        <f t="shared" si="4"/>
        <v>0</v>
      </c>
      <c r="L11" s="158">
        <f t="shared" si="5"/>
        <v>0</v>
      </c>
      <c r="M11" s="164">
        <f t="shared" si="6"/>
        <v>203955.82681093452</v>
      </c>
      <c r="N11" s="403">
        <f t="shared" si="7"/>
        <v>50.119742537835585</v>
      </c>
      <c r="O11" s="933">
        <f>+$O$6*$C$6*C11/($C$13+$C$21+$C$28+$C$32+$C$35+$C$38)+$O$6*$G$6*'Sheet 2 Gross &amp; Net Costs'!K10/'Sheet 2 Gross &amp; Net Costs'!$K$41+$O$6*'Sheet 3 Disaggregated Fees'!$J$6*'Sheet 2 Gross &amp; Net Costs'!P10/'Sheet 2 Gross &amp; Net Costs'!$P$41</f>
        <v>0</v>
      </c>
      <c r="P11" s="825"/>
      <c r="Q11" s="792"/>
      <c r="R11" s="165"/>
      <c r="S11" s="147">
        <f>S$6*'Sheet 1 Gen &amp; Rec'!$O10</f>
        <v>1626.3110681059227</v>
      </c>
      <c r="T11" s="147">
        <f>T$6*'Sheet 1 Gen &amp; Rec'!$O10</f>
        <v>332.57895053290855</v>
      </c>
      <c r="U11" s="147">
        <f>U$6*'Sheet 1 Gen &amp; Rec'!$O10</f>
        <v>6955.718253796792</v>
      </c>
      <c r="V11" s="147">
        <f>V$6*'Sheet 1 Gen &amp; Rec'!$O10</f>
        <v>374.1513193495221</v>
      </c>
      <c r="W11" s="147"/>
      <c r="X11" s="147">
        <f>X$6*'Sheet 1 Gen &amp; Rec'!$O10</f>
        <v>997.7368515987256</v>
      </c>
      <c r="Y11" s="148">
        <f>SUM(M11,O11:X11)</f>
        <v>214242.3232543184</v>
      </c>
      <c r="Z11" s="154"/>
      <c r="AA11" s="150">
        <f>Y11-Z11</f>
        <v>214242.3232543184</v>
      </c>
      <c r="AB11" s="388">
        <f t="shared" si="8"/>
        <v>203955.82681093452</v>
      </c>
      <c r="AC11" s="388">
        <f>SUM(P11:X11)</f>
        <v>10286.496443383872</v>
      </c>
      <c r="AD11" s="150">
        <f>AA11</f>
        <v>214242.3232543184</v>
      </c>
      <c r="AE11" s="150">
        <f>AA11+Z11</f>
        <v>214242.3232543184</v>
      </c>
      <c r="AF11" s="376">
        <f>+VLOOKUP(B11,Parameters!$D$6:$E$28,2,0)</f>
        <v>4069.371</v>
      </c>
      <c r="AG11" s="738">
        <f>AD11/AF11</f>
        <v>52.64752789910736</v>
      </c>
      <c r="AH11" s="730">
        <f>AG11/1000*100</f>
        <v>5.264752789910736</v>
      </c>
      <c r="AI11" s="167">
        <f t="shared" si="9"/>
        <v>52.64752789910736</v>
      </c>
      <c r="AJ11" s="168">
        <f t="shared" si="10"/>
        <v>5.264752789910736</v>
      </c>
      <c r="AL11" s="938"/>
    </row>
    <row r="12" spans="1:38" s="99" customFormat="1" ht="15" customHeight="1">
      <c r="A12" s="29"/>
      <c r="B12" s="169" t="s">
        <v>2</v>
      </c>
      <c r="C12" s="588">
        <f>'Sheet 1 Gen &amp; Rec'!H11</f>
        <v>57632.34247920363</v>
      </c>
      <c r="D12" s="712">
        <f t="shared" si="0"/>
        <v>0.7213216818727599</v>
      </c>
      <c r="E12" s="139">
        <f>D12*$E$40</f>
        <v>5976022.453888594</v>
      </c>
      <c r="F12" s="197">
        <f t="shared" si="1"/>
        <v>117.60411228352862</v>
      </c>
      <c r="G12" s="717">
        <f>'Sheet 2 Gross &amp; Net Costs'!M11</f>
        <v>0.15718484865531226</v>
      </c>
      <c r="H12" s="170">
        <f t="shared" si="2"/>
        <v>1488284.1691164593</v>
      </c>
      <c r="I12" s="199">
        <f t="shared" si="3"/>
        <v>29.288433884762153</v>
      </c>
      <c r="J12" s="723">
        <f>'Sheet 2 Gross &amp; Net Costs'!R11</f>
        <v>1</v>
      </c>
      <c r="K12" s="171">
        <f t="shared" si="4"/>
        <v>5917730.707859485</v>
      </c>
      <c r="L12" s="201">
        <f t="shared" si="5"/>
        <v>116.4569698324909</v>
      </c>
      <c r="M12" s="172">
        <f t="shared" si="6"/>
        <v>13382037.33086454</v>
      </c>
      <c r="N12" s="405">
        <f t="shared" si="7"/>
        <v>263.3495160007817</v>
      </c>
      <c r="O12" s="933">
        <f>+$O$6*$C$6*C12/($C$13+$C$21+$C$28+$C$32+$C$35+$C$38)+$O$6*$G$6*'Sheet 2 Gross &amp; Net Costs'!K11/'Sheet 2 Gross &amp; Net Costs'!$K$41+$O$6*'Sheet 3 Disaggregated Fees'!$J$6*'Sheet 2 Gross &amp; Net Costs'!P11/'Sheet 2 Gross &amp; Net Costs'!$P$41</f>
        <v>0</v>
      </c>
      <c r="P12" s="826"/>
      <c r="Q12" s="793"/>
      <c r="R12" s="173"/>
      <c r="S12" s="475">
        <f>S$6*'Sheet 1 Gen &amp; Rec'!$O11</f>
        <v>41286.378766509384</v>
      </c>
      <c r="T12" s="475">
        <f>T$6*'Sheet 1 Gen &amp; Rec'!$O11</f>
        <v>8443.022242639956</v>
      </c>
      <c r="U12" s="475">
        <f>U$6*'Sheet 1 Gen &amp; Rec'!$O11</f>
        <v>176581.48188946198</v>
      </c>
      <c r="V12" s="475">
        <f>V$6*'Sheet 1 Gen &amp; Rec'!$O11</f>
        <v>9498.40002296995</v>
      </c>
      <c r="W12" s="475"/>
      <c r="X12" s="475">
        <f>X$6*'Sheet 1 Gen &amp; Rec'!$O11</f>
        <v>25329.066727919868</v>
      </c>
      <c r="Y12" s="148">
        <f>SUM(M12,O12:X12)</f>
        <v>13643175.68051404</v>
      </c>
      <c r="Z12" s="483"/>
      <c r="AA12" s="231">
        <f>Y12-Z12</f>
        <v>13643175.68051404</v>
      </c>
      <c r="AB12" s="784">
        <f t="shared" si="8"/>
        <v>13382037.33086454</v>
      </c>
      <c r="AC12" s="784">
        <f>SUM(P12:X12)</f>
        <v>261138.34964950115</v>
      </c>
      <c r="AD12" s="150">
        <f>AA12</f>
        <v>13643175.68051404</v>
      </c>
      <c r="AE12" s="150">
        <f>AA12+Z12</f>
        <v>13643175.68051404</v>
      </c>
      <c r="AF12" s="376">
        <f>+VLOOKUP(B12,Parameters!$D$6:$E$28,2,0)</f>
        <v>50814.74055499999</v>
      </c>
      <c r="AG12" s="738">
        <f>AD12/AF12</f>
        <v>268.4885435112509</v>
      </c>
      <c r="AH12" s="731">
        <f>AG12/1000*100</f>
        <v>26.84885435112509</v>
      </c>
      <c r="AI12" s="175">
        <f t="shared" si="9"/>
        <v>268.4885435112509</v>
      </c>
      <c r="AJ12" s="176">
        <f t="shared" si="10"/>
        <v>26.84885435112509</v>
      </c>
      <c r="AL12" s="938"/>
    </row>
    <row r="13" spans="1:36" s="55" customFormat="1" ht="15" customHeight="1" thickBot="1">
      <c r="A13" s="177" t="s">
        <v>0</v>
      </c>
      <c r="B13" s="178"/>
      <c r="C13" s="589">
        <f>'Sheet 1 Gen &amp; Rec'!H12</f>
        <v>79898.25334180082</v>
      </c>
      <c r="D13" s="713">
        <f t="shared" si="0"/>
        <v>1</v>
      </c>
      <c r="E13" s="179">
        <f>E40</f>
        <v>8284822.991003279</v>
      </c>
      <c r="F13" s="180">
        <f t="shared" si="1"/>
        <v>22.903435154934183</v>
      </c>
      <c r="G13" s="718">
        <f>'Sheet 2 Gross &amp; Net Costs'!M12</f>
        <v>1</v>
      </c>
      <c r="H13" s="181">
        <f t="shared" si="2"/>
        <v>9468369.132575177</v>
      </c>
      <c r="I13" s="182">
        <f t="shared" si="3"/>
        <v>26.175354462781925</v>
      </c>
      <c r="J13" s="724">
        <f>'Sheet 2 Gross &amp; Net Costs'!R12</f>
        <v>1</v>
      </c>
      <c r="K13" s="183">
        <f t="shared" si="4"/>
        <v>5917730.707859485</v>
      </c>
      <c r="L13" s="184">
        <f t="shared" si="5"/>
        <v>16.3595965392387</v>
      </c>
      <c r="M13" s="185">
        <f t="shared" si="6"/>
        <v>23670922.83143794</v>
      </c>
      <c r="N13" s="404">
        <f t="shared" si="7"/>
        <v>65.4383861569548</v>
      </c>
      <c r="O13" s="934"/>
      <c r="P13" s="827"/>
      <c r="Q13" s="794"/>
      <c r="R13" s="186"/>
      <c r="S13" s="187">
        <f aca="true" t="shared" si="11" ref="S13:Y13">SUM(S8:S12)</f>
        <v>156147.14714714716</v>
      </c>
      <c r="T13" s="187">
        <f t="shared" si="11"/>
        <v>31931.931931931937</v>
      </c>
      <c r="U13" s="187">
        <f t="shared" si="11"/>
        <v>667839.9864514517</v>
      </c>
      <c r="V13" s="187">
        <f t="shared" si="11"/>
        <v>35923.42342342343</v>
      </c>
      <c r="W13" s="187">
        <f t="shared" si="11"/>
        <v>0</v>
      </c>
      <c r="X13" s="187">
        <f t="shared" si="11"/>
        <v>95795.79579579583</v>
      </c>
      <c r="Y13" s="188">
        <f t="shared" si="11"/>
        <v>24658561.116187688</v>
      </c>
      <c r="Z13" s="189">
        <f aca="true" t="shared" si="12" ref="Z13:AF13">SUM(Z8:Z12)</f>
        <v>4729544.788050666</v>
      </c>
      <c r="AA13" s="190">
        <f>SUM(AA8:AA12)</f>
        <v>19929016.32813702</v>
      </c>
      <c r="AB13" s="190">
        <f t="shared" si="8"/>
        <v>23670922.83143794</v>
      </c>
      <c r="AC13" s="190">
        <f>SUM(AC8:AC12)</f>
        <v>987638.28474975</v>
      </c>
      <c r="AD13" s="190">
        <f t="shared" si="12"/>
        <v>19929016.32813702</v>
      </c>
      <c r="AE13" s="190">
        <f t="shared" si="12"/>
        <v>24658561.116187688</v>
      </c>
      <c r="AF13" s="377">
        <f t="shared" si="12"/>
        <v>361728.401655</v>
      </c>
      <c r="AG13" s="739"/>
      <c r="AH13" s="732"/>
      <c r="AI13" s="191">
        <f t="shared" si="9"/>
        <v>68.16871720154808</v>
      </c>
      <c r="AJ13" s="192">
        <f t="shared" si="10"/>
        <v>6.816871720154808</v>
      </c>
    </row>
    <row r="14" spans="1:36" s="55" customFormat="1" ht="6.75" customHeight="1" thickBot="1">
      <c r="A14" s="193"/>
      <c r="B14" s="194"/>
      <c r="C14" s="484"/>
      <c r="D14" s="714"/>
      <c r="E14" s="196"/>
      <c r="F14" s="197"/>
      <c r="G14" s="719"/>
      <c r="H14" s="198"/>
      <c r="I14" s="199"/>
      <c r="J14" s="725"/>
      <c r="K14" s="200"/>
      <c r="L14" s="201"/>
      <c r="M14" s="202"/>
      <c r="N14" s="405"/>
      <c r="O14" s="935"/>
      <c r="P14" s="828"/>
      <c r="Q14" s="795"/>
      <c r="R14" s="203"/>
      <c r="S14" s="204"/>
      <c r="T14" s="204"/>
      <c r="U14" s="204"/>
      <c r="V14" s="204"/>
      <c r="W14" s="204"/>
      <c r="X14" s="204"/>
      <c r="Y14" s="205"/>
      <c r="Z14" s="206"/>
      <c r="AA14" s="207"/>
      <c r="AB14" s="784"/>
      <c r="AC14" s="784"/>
      <c r="AD14" s="207"/>
      <c r="AE14" s="207"/>
      <c r="AF14" s="378"/>
      <c r="AG14" s="740"/>
      <c r="AH14" s="421"/>
      <c r="AI14" s="208"/>
      <c r="AJ14" s="209"/>
    </row>
    <row r="15" spans="1:36" s="55" customFormat="1" ht="15" customHeight="1">
      <c r="A15" s="210" t="s">
        <v>33</v>
      </c>
      <c r="B15" s="211"/>
      <c r="C15" s="214"/>
      <c r="D15" s="715"/>
      <c r="E15" s="215"/>
      <c r="F15" s="216"/>
      <c r="G15" s="720"/>
      <c r="H15" s="217"/>
      <c r="I15" s="218"/>
      <c r="J15" s="726"/>
      <c r="K15" s="219"/>
      <c r="L15" s="220"/>
      <c r="M15" s="221"/>
      <c r="N15" s="406"/>
      <c r="O15" s="936"/>
      <c r="P15" s="829"/>
      <c r="Q15" s="796"/>
      <c r="R15" s="222"/>
      <c r="S15" s="223"/>
      <c r="T15" s="223"/>
      <c r="U15" s="223"/>
      <c r="V15" s="223"/>
      <c r="W15" s="223"/>
      <c r="X15" s="223"/>
      <c r="Y15" s="224"/>
      <c r="Z15" s="225"/>
      <c r="AA15" s="226"/>
      <c r="AB15" s="387"/>
      <c r="AC15" s="387"/>
      <c r="AD15" s="226"/>
      <c r="AE15" s="226"/>
      <c r="AF15" s="379"/>
      <c r="AG15" s="741"/>
      <c r="AH15" s="733"/>
      <c r="AI15" s="227"/>
      <c r="AJ15" s="228"/>
    </row>
    <row r="16" spans="1:38" s="99" customFormat="1" ht="15" customHeight="1">
      <c r="A16" s="22" t="s">
        <v>48</v>
      </c>
      <c r="B16" s="155" t="s">
        <v>145</v>
      </c>
      <c r="C16" s="588">
        <f>'Sheet 1 Gen &amp; Rec'!H15</f>
        <v>10817.302539303055</v>
      </c>
      <c r="D16" s="711">
        <f aca="true" t="shared" si="13" ref="D16:D21">C16/$C$39</f>
        <v>0.027870481333547425</v>
      </c>
      <c r="E16" s="139">
        <f aca="true" t="shared" si="14" ref="E16:E38">D16*$E$41</f>
        <v>876424.7487286113</v>
      </c>
      <c r="F16" s="140">
        <f aca="true" t="shared" si="15" ref="F16:F38">E16/AF16</f>
        <v>7.458825818453094</v>
      </c>
      <c r="G16" s="716">
        <f>'Sheet 2 Gross &amp; Net Costs'!N15</f>
        <v>0.29323846403715653</v>
      </c>
      <c r="H16" s="141">
        <f aca="true" t="shared" si="16" ref="H16:H38">G16*H$41</f>
        <v>10538603.050942084</v>
      </c>
      <c r="I16" s="142">
        <f aca="true" t="shared" si="17" ref="I16:I38">H16/AF16</f>
        <v>89.6889375166834</v>
      </c>
      <c r="J16" s="722">
        <f>'Sheet 2 Gross &amp; Net Costs'!S15</f>
        <v>0</v>
      </c>
      <c r="K16" s="143">
        <f aca="true" t="shared" si="18" ref="K16:K38">J16*K$41</f>
        <v>0</v>
      </c>
      <c r="L16" s="144">
        <f aca="true" t="shared" si="19" ref="L16:L38">K16/AF16</f>
        <v>0</v>
      </c>
      <c r="M16" s="145">
        <f aca="true" t="shared" si="20" ref="M16:M38">K16+E16+H16</f>
        <v>11415027.799670694</v>
      </c>
      <c r="N16" s="402">
        <f aca="true" t="shared" si="21" ref="N16:N38">M16/AF16</f>
        <v>97.14776333513649</v>
      </c>
      <c r="O16" s="933">
        <f>+$O$6*$C$6*C16/($C$13+$C$21+$C$28+$C$32+$C$35+$C$38)+$O$6*$G$6*'Sheet 2 Gross &amp; Net Costs'!K15/'Sheet 2 Gross &amp; Net Costs'!$K$41+$O$6*'Sheet 3 Disaggregated Fees'!$J$6*'Sheet 2 Gross &amp; Net Costs'!P15/'Sheet 2 Gross &amp; Net Costs'!$P$41</f>
        <v>0</v>
      </c>
      <c r="P16" s="824"/>
      <c r="Q16" s="791"/>
      <c r="R16" s="159"/>
      <c r="S16" s="147">
        <f>S$6*'Sheet 1 Gen &amp; Rec'!$O15</f>
        <v>93929.60442847638</v>
      </c>
      <c r="T16" s="147">
        <f>T$6*'Sheet 1 Gen &amp; Rec'!$O15</f>
        <v>19208.508063083103</v>
      </c>
      <c r="U16" s="147">
        <f>U$6*'Sheet 1 Gen &amp; Rec'!$O15</f>
        <v>401736.0988977246</v>
      </c>
      <c r="V16" s="147">
        <f>V$6*'Sheet 1 Gen &amp; Rec'!$O15</f>
        <v>21609.571570968492</v>
      </c>
      <c r="W16" s="147"/>
      <c r="X16" s="147">
        <f>X$6*'Sheet 1 Gen &amp; Rec'!$O15</f>
        <v>57625.524189249314</v>
      </c>
      <c r="Y16" s="148">
        <f>SUM(M16,O16:X16)</f>
        <v>12009137.106820196</v>
      </c>
      <c r="Z16" s="154"/>
      <c r="AA16" s="150">
        <f>Y16-Z16</f>
        <v>12009137.106820196</v>
      </c>
      <c r="AB16" s="388">
        <f aca="true" t="shared" si="22" ref="AB16:AB38">M16</f>
        <v>11415027.799670694</v>
      </c>
      <c r="AC16" s="388">
        <f>SUM(P16:X16)</f>
        <v>594109.3071495019</v>
      </c>
      <c r="AD16" s="150">
        <f>AA16</f>
        <v>12009137.106820196</v>
      </c>
      <c r="AE16" s="150">
        <f>AA16+Z16</f>
        <v>12009137.106820196</v>
      </c>
      <c r="AF16" s="380">
        <f>+VLOOKUP(B16,Parameters!$D$6:$E$28,2,0)</f>
        <v>117501.7047</v>
      </c>
      <c r="AG16" s="738">
        <f aca="true" t="shared" si="23" ref="AG16:AG21">AD16/AF16</f>
        <v>102.20393940225274</v>
      </c>
      <c r="AH16" s="729">
        <f aca="true" t="shared" si="24" ref="AH16:AH21">AG16/1000*100</f>
        <v>10.220393940225273</v>
      </c>
      <c r="AI16" s="229">
        <f aca="true" t="shared" si="25" ref="AI16:AI38">AE16/AF16</f>
        <v>102.20393940225274</v>
      </c>
      <c r="AJ16" s="160">
        <f t="shared" si="10"/>
        <v>10.220393940225273</v>
      </c>
      <c r="AL16" s="938"/>
    </row>
    <row r="17" spans="1:38" s="99" customFormat="1" ht="15" customHeight="1">
      <c r="A17" s="22"/>
      <c r="B17" s="155" t="s">
        <v>147</v>
      </c>
      <c r="C17" s="588">
        <f>'Sheet 1 Gen &amp; Rec'!H16</f>
        <v>82987.37357562713</v>
      </c>
      <c r="D17" s="711">
        <f t="shared" si="13"/>
        <v>0.21381467678805072</v>
      </c>
      <c r="E17" s="139">
        <f t="shared" si="14"/>
        <v>6723689.91894281</v>
      </c>
      <c r="F17" s="156">
        <f t="shared" si="15"/>
        <v>43.17527513929987</v>
      </c>
      <c r="G17" s="716">
        <f>'Sheet 2 Gross &amp; Net Costs'!N16</f>
        <v>0.09041803857178961</v>
      </c>
      <c r="H17" s="141">
        <f t="shared" si="16"/>
        <v>3249504.8706574887</v>
      </c>
      <c r="I17" s="157">
        <f t="shared" si="17"/>
        <v>20.866260721195143</v>
      </c>
      <c r="J17" s="722">
        <f>'Sheet 2 Gross &amp; Net Costs'!S16</f>
        <v>0.02186821260849066</v>
      </c>
      <c r="K17" s="143">
        <f t="shared" si="18"/>
        <v>491196.67177531304</v>
      </c>
      <c r="L17" s="158">
        <f t="shared" si="19"/>
        <v>3.154153702367948</v>
      </c>
      <c r="M17" s="145">
        <f>K17+E17+H17</f>
        <v>10464391.461375613</v>
      </c>
      <c r="N17" s="403">
        <f t="shared" si="21"/>
        <v>67.19568956286297</v>
      </c>
      <c r="O17" s="933">
        <f>+$O$6*$C$6*C17/($C$13+$C$21+$C$28+$C$32+$C$35+$C$38)+$O$6*$G$6*'Sheet 2 Gross &amp; Net Costs'!K16/'Sheet 2 Gross &amp; Net Costs'!$K$41+$O$6*'Sheet 3 Disaggregated Fees'!$J$6*'Sheet 2 Gross &amp; Net Costs'!P16/'Sheet 2 Gross &amp; Net Costs'!$P$41</f>
        <v>0</v>
      </c>
      <c r="P17" s="824"/>
      <c r="Q17" s="791"/>
      <c r="R17" s="159"/>
      <c r="S17" s="147">
        <f>S$6*'Sheet 1 Gen &amp; Rec'!$O16</f>
        <v>99624.43923225687</v>
      </c>
      <c r="T17" s="147">
        <f>T$6*'Sheet 1 Gen &amp; Rec'!$O16</f>
        <v>20373.095957516744</v>
      </c>
      <c r="U17" s="147">
        <f>U$6*'Sheet 1 Gen &amp; Rec'!$O16</f>
        <v>426092.85768382007</v>
      </c>
      <c r="V17" s="147">
        <f>V$6*'Sheet 1 Gen &amp; Rec'!$O16</f>
        <v>22919.732952206337</v>
      </c>
      <c r="W17" s="147"/>
      <c r="X17" s="147">
        <f>X$6*'Sheet 1 Gen &amp; Rec'!$O16</f>
        <v>61119.28787255023</v>
      </c>
      <c r="Y17" s="148">
        <f>SUM(M17,O17:X17)</f>
        <v>11094520.875073964</v>
      </c>
      <c r="Z17" s="154"/>
      <c r="AA17" s="150">
        <f>Y17-Z17</f>
        <v>11094520.875073964</v>
      </c>
      <c r="AB17" s="388">
        <f t="shared" si="22"/>
        <v>10464391.461375613</v>
      </c>
      <c r="AC17" s="388">
        <f>SUM(P17:X17)</f>
        <v>630129.4136983502</v>
      </c>
      <c r="AD17" s="150">
        <f>AA17</f>
        <v>11094520.875073964</v>
      </c>
      <c r="AE17" s="150">
        <f>AA17+Z17</f>
        <v>11094520.875073964</v>
      </c>
      <c r="AF17" s="380">
        <f>+VLOOKUP(B17,Parameters!$D$6:$E$28,2,0)</f>
        <v>155730.10009200004</v>
      </c>
      <c r="AG17" s="738">
        <f>AD17/AF17</f>
        <v>71.24198127734907</v>
      </c>
      <c r="AH17" s="730">
        <f>AG17/1000*100</f>
        <v>7.124198127734907</v>
      </c>
      <c r="AI17" s="229">
        <f>AE17/AF17</f>
        <v>71.24198127734907</v>
      </c>
      <c r="AJ17" s="168">
        <f>AI17/1000*100</f>
        <v>7.124198127734907</v>
      </c>
      <c r="AL17" s="938"/>
    </row>
    <row r="18" spans="1:38" s="99" customFormat="1" ht="15" customHeight="1">
      <c r="A18" s="22"/>
      <c r="B18" s="155" t="s">
        <v>146</v>
      </c>
      <c r="C18" s="588">
        <f>'Sheet 1 Gen &amp; Rec'!H17</f>
        <v>7901.516072199813</v>
      </c>
      <c r="D18" s="711">
        <f t="shared" si="13"/>
        <v>0.020358038004099153</v>
      </c>
      <c r="E18" s="139">
        <f t="shared" si="14"/>
        <v>640185.8700902138</v>
      </c>
      <c r="F18" s="156">
        <f t="shared" si="15"/>
        <v>41.45895898531859</v>
      </c>
      <c r="G18" s="716">
        <f>'Sheet 2 Gross &amp; Net Costs'!N17</f>
        <v>0.04618382976811855</v>
      </c>
      <c r="H18" s="141">
        <f t="shared" si="16"/>
        <v>1659785.8364065504</v>
      </c>
      <c r="I18" s="157">
        <f t="shared" si="17"/>
        <v>107.48908423470027</v>
      </c>
      <c r="J18" s="722">
        <f>'Sheet 2 Gross &amp; Net Costs'!S17</f>
        <v>0.009735970212083835</v>
      </c>
      <c r="K18" s="143">
        <f t="shared" si="18"/>
        <v>218686.1930737942</v>
      </c>
      <c r="L18" s="158">
        <f t="shared" si="19"/>
        <v>14.162296190673906</v>
      </c>
      <c r="M18" s="145">
        <f t="shared" si="20"/>
        <v>2518657.899570558</v>
      </c>
      <c r="N18" s="403">
        <f t="shared" si="21"/>
        <v>163.11033941069277</v>
      </c>
      <c r="O18" s="933">
        <f>+$O$6*$C$6*C18/($C$13+$C$21+$C$28+$C$32+$C$35+$C$38)+$O$6*$G$6*'Sheet 2 Gross &amp; Net Costs'!K17/'Sheet 2 Gross &amp; Net Costs'!$K$41+$O$6*'Sheet 3 Disaggregated Fees'!$J$6*'Sheet 2 Gross &amp; Net Costs'!P17/'Sheet 2 Gross &amp; Net Costs'!$P$41</f>
        <v>0</v>
      </c>
      <c r="P18" s="824"/>
      <c r="Q18" s="791"/>
      <c r="R18" s="159"/>
      <c r="S18" s="147">
        <f>S$6*'Sheet 1 Gen &amp; Rec'!$O17</f>
        <v>13122.575589520871</v>
      </c>
      <c r="T18" s="147">
        <f>T$6*'Sheet 1 Gen &amp; Rec'!$O17</f>
        <v>2683.553290290567</v>
      </c>
      <c r="U18" s="147">
        <f>U$6*'Sheet 1 Gen &amp; Rec'!$O17</f>
        <v>56125.14134283294</v>
      </c>
      <c r="V18" s="147">
        <f>V$6*'Sheet 1 Gen &amp; Rec'!$O17</f>
        <v>3018.9974515768877</v>
      </c>
      <c r="W18" s="147">
        <f>+$W$6*'Sheet 1 Gen &amp; Rec'!E17/SUM('Sheet 1 Gen &amp; Rec'!$E$17:$E$19)</f>
        <v>34408.52374547056</v>
      </c>
      <c r="X18" s="147">
        <f>X$6*'Sheet 1 Gen &amp; Rec'!$O17</f>
        <v>8050.659870871701</v>
      </c>
      <c r="Y18" s="148">
        <f>SUM(M18,O18:X18)</f>
        <v>2636067.350861122</v>
      </c>
      <c r="Z18" s="154"/>
      <c r="AA18" s="150">
        <f>Y18-Z18</f>
        <v>2636067.350861122</v>
      </c>
      <c r="AB18" s="388">
        <f t="shared" si="22"/>
        <v>2518657.899570558</v>
      </c>
      <c r="AC18" s="388">
        <f>SUM(P18:X18)</f>
        <v>117409.45129056352</v>
      </c>
      <c r="AD18" s="150">
        <f>AA18</f>
        <v>2636067.350861122</v>
      </c>
      <c r="AE18" s="150">
        <f>AA18+Z18</f>
        <v>2636067.350861122</v>
      </c>
      <c r="AF18" s="380">
        <f>+VLOOKUP(B18,Parameters!$D$6:$E$28,2,0)</f>
        <v>15441.436200000002</v>
      </c>
      <c r="AG18" s="738">
        <f t="shared" si="23"/>
        <v>170.71387121756987</v>
      </c>
      <c r="AH18" s="730">
        <f t="shared" si="24"/>
        <v>17.071387121756988</v>
      </c>
      <c r="AI18" s="229">
        <f t="shared" si="25"/>
        <v>170.71387121756987</v>
      </c>
      <c r="AJ18" s="168">
        <f>AI18/1000*100</f>
        <v>17.071387121756988</v>
      </c>
      <c r="AL18" s="938"/>
    </row>
    <row r="19" spans="1:38" s="99" customFormat="1" ht="15" customHeight="1">
      <c r="A19" s="27"/>
      <c r="B19" s="161" t="s">
        <v>178</v>
      </c>
      <c r="C19" s="588">
        <f>'Sheet 1 Gen &amp; Rec'!H18</f>
        <v>39249.78584088268</v>
      </c>
      <c r="D19" s="711">
        <f t="shared" si="13"/>
        <v>0.10112598955696159</v>
      </c>
      <c r="E19" s="139">
        <f t="shared" si="14"/>
        <v>3180042.6740642614</v>
      </c>
      <c r="F19" s="156">
        <f t="shared" si="15"/>
        <v>118.41833749001894</v>
      </c>
      <c r="G19" s="716">
        <f>'Sheet 2 Gross &amp; Net Costs'!N18</f>
        <v>0.013384208658797967</v>
      </c>
      <c r="H19" s="162">
        <f t="shared" si="16"/>
        <v>481010.77963694773</v>
      </c>
      <c r="I19" s="157">
        <f t="shared" si="17"/>
        <v>17.91186555574951</v>
      </c>
      <c r="J19" s="722">
        <f>'Sheet 2 Gross &amp; Net Costs'!S18</f>
        <v>0.12556491334506936</v>
      </c>
      <c r="K19" s="163">
        <f t="shared" si="18"/>
        <v>2820398.2022246583</v>
      </c>
      <c r="L19" s="158">
        <f t="shared" si="19"/>
        <v>105.02590700785457</v>
      </c>
      <c r="M19" s="164">
        <f t="shared" si="20"/>
        <v>6481451.655925867</v>
      </c>
      <c r="N19" s="403">
        <f t="shared" si="21"/>
        <v>241.356110053623</v>
      </c>
      <c r="O19" s="933">
        <f>+$O$6*$C$6*C19/($C$13+$C$21+$C$28+$C$32+$C$35+$C$38)+$O$6*$G$6*'Sheet 2 Gross &amp; Net Costs'!K18/'Sheet 2 Gross &amp; Net Costs'!$K$41+$O$6*'Sheet 3 Disaggregated Fees'!$J$6*'Sheet 2 Gross &amp; Net Costs'!P18/'Sheet 2 Gross &amp; Net Costs'!$P$41</f>
        <v>0</v>
      </c>
      <c r="P19" s="825"/>
      <c r="Q19" s="791"/>
      <c r="R19" s="165"/>
      <c r="S19" s="147">
        <f>S$6*'Sheet 1 Gen &amp; Rec'!$O18</f>
        <v>34942.66762916987</v>
      </c>
      <c r="T19" s="147">
        <f>T$6*'Sheet 1 Gen &amp; Rec'!$O18</f>
        <v>7145.73980146623</v>
      </c>
      <c r="U19" s="147">
        <f>U$6*'Sheet 1 Gen &amp; Rec'!$O18</f>
        <v>149449.48468415698</v>
      </c>
      <c r="V19" s="147">
        <f>V$6*'Sheet 1 Gen &amp; Rec'!$O18</f>
        <v>8038.957276649509</v>
      </c>
      <c r="W19" s="147">
        <f>+$W$6*'Sheet 1 Gen &amp; Rec'!E18/SUM('Sheet 1 Gen &amp; Rec'!$E$17:$E$19)</f>
        <v>10605.164715846466</v>
      </c>
      <c r="X19" s="147">
        <f>X$6*'Sheet 1 Gen &amp; Rec'!$O18</f>
        <v>21437.219404398693</v>
      </c>
      <c r="Y19" s="148">
        <f>SUM(M19,O19:X19)</f>
        <v>6713070.889437555</v>
      </c>
      <c r="Z19" s="166"/>
      <c r="AA19" s="150">
        <f>Y19-Z19</f>
        <v>6713070.889437555</v>
      </c>
      <c r="AB19" s="388">
        <f t="shared" si="22"/>
        <v>6481451.655925867</v>
      </c>
      <c r="AC19" s="388">
        <f>SUM(P19:X19)</f>
        <v>231619.23351168775</v>
      </c>
      <c r="AD19" s="150">
        <f>AA19</f>
        <v>6713070.889437555</v>
      </c>
      <c r="AE19" s="150">
        <f>AA19+Z19</f>
        <v>6713070.889437555</v>
      </c>
      <c r="AF19" s="380">
        <f>+VLOOKUP(B19,Parameters!$D$6:$E$28,2,0)</f>
        <v>26854.309404</v>
      </c>
      <c r="AG19" s="738">
        <f t="shared" si="23"/>
        <v>249.9811403989272</v>
      </c>
      <c r="AH19" s="730">
        <f t="shared" si="24"/>
        <v>24.998114039892723</v>
      </c>
      <c r="AI19" s="230">
        <f t="shared" si="25"/>
        <v>249.9811403989272</v>
      </c>
      <c r="AJ19" s="168">
        <f>AI19/1000*100</f>
        <v>24.998114039892723</v>
      </c>
      <c r="AL19" s="938"/>
    </row>
    <row r="20" spans="1:38" s="99" customFormat="1" ht="15" customHeight="1">
      <c r="A20" s="29"/>
      <c r="B20" s="169" t="s">
        <v>5</v>
      </c>
      <c r="C20" s="588">
        <f>'Sheet 1 Gen &amp; Rec'!H19</f>
        <v>4741.638076863908</v>
      </c>
      <c r="D20" s="711">
        <f t="shared" si="13"/>
        <v>0.012216699591374065</v>
      </c>
      <c r="E20" s="139">
        <f t="shared" si="14"/>
        <v>384170.54020430613</v>
      </c>
      <c r="F20" s="156">
        <f t="shared" si="15"/>
        <v>65.65261770143397</v>
      </c>
      <c r="G20" s="716">
        <f>'Sheet 2 Gross &amp; Net Costs'!N19</f>
        <v>0.005740739884344338</v>
      </c>
      <c r="H20" s="170">
        <f t="shared" si="16"/>
        <v>206314.6083460259</v>
      </c>
      <c r="I20" s="157">
        <f t="shared" si="17"/>
        <v>35.25802395144429</v>
      </c>
      <c r="J20" s="722">
        <f>'Sheet 2 Gross &amp; Net Costs'!S19</f>
        <v>0.01214936365526671</v>
      </c>
      <c r="K20" s="171">
        <f t="shared" si="18"/>
        <v>272895.05084370275</v>
      </c>
      <c r="L20" s="158">
        <f t="shared" si="19"/>
        <v>46.63625283741676</v>
      </c>
      <c r="M20" s="172">
        <f t="shared" si="20"/>
        <v>863380.1993940348</v>
      </c>
      <c r="N20" s="403">
        <f t="shared" si="21"/>
        <v>147.54689449029502</v>
      </c>
      <c r="O20" s="933">
        <f>+$O$6*$C$6*C20/($C$13+$C$21+$C$28+$C$32+$C$35+$C$38)+$O$6*$G$6*'Sheet 2 Gross &amp; Net Costs'!K19/'Sheet 2 Gross &amp; Net Costs'!$K$41+$O$6*'Sheet 3 Disaggregated Fees'!$J$6*'Sheet 2 Gross &amp; Net Costs'!P19/'Sheet 2 Gross &amp; Net Costs'!$P$41</f>
        <v>0</v>
      </c>
      <c r="P20" s="825"/>
      <c r="Q20" s="791"/>
      <c r="R20" s="173"/>
      <c r="S20" s="147">
        <f>S$6*'Sheet 1 Gen &amp; Rec'!$O19</f>
        <v>4920.252660115509</v>
      </c>
      <c r="T20" s="147">
        <f>T$6*'Sheet 1 Gen &amp; Rec'!$O19</f>
        <v>1006.1866380604313</v>
      </c>
      <c r="U20" s="147">
        <f>U$6*'Sheet 1 Gen &amp; Rec'!$O19</f>
        <v>21043.87771345392</v>
      </c>
      <c r="V20" s="147">
        <f>V$6*'Sheet 1 Gen &amp; Rec'!$O19</f>
        <v>1131.9599678179852</v>
      </c>
      <c r="W20" s="147">
        <f>+$W$6*'Sheet 1 Gen &amp; Rec'!E19/SUM('Sheet 1 Gen &amp; Rec'!$E$17:$E$19)</f>
        <v>4986.311538682975</v>
      </c>
      <c r="X20" s="147">
        <f>X$6*'Sheet 1 Gen &amp; Rec'!$O19</f>
        <v>3018.559914181294</v>
      </c>
      <c r="Y20" s="148">
        <f>SUM(M20,O20:X20)</f>
        <v>899487.3478263469</v>
      </c>
      <c r="Z20" s="174"/>
      <c r="AA20" s="150">
        <f>Y20-Z20</f>
        <v>899487.3478263469</v>
      </c>
      <c r="AB20" s="388">
        <f t="shared" si="22"/>
        <v>863380.1993940348</v>
      </c>
      <c r="AC20" s="388">
        <f>SUM(P20:X20)</f>
        <v>36107.14843231211</v>
      </c>
      <c r="AD20" s="150">
        <f>AA20</f>
        <v>899487.3478263469</v>
      </c>
      <c r="AE20" s="150">
        <f>AA20+Z20</f>
        <v>899487.3478263469</v>
      </c>
      <c r="AF20" s="380">
        <f>+VLOOKUP(B20,Parameters!$D$6:$E$28,2,0)</f>
        <v>5851.5647</v>
      </c>
      <c r="AG20" s="738">
        <f t="shared" si="23"/>
        <v>153.71740618818535</v>
      </c>
      <c r="AH20" s="730">
        <f t="shared" si="24"/>
        <v>15.371740618818535</v>
      </c>
      <c r="AI20" s="175">
        <f t="shared" si="25"/>
        <v>153.71740618818535</v>
      </c>
      <c r="AJ20" s="168">
        <f>AI20/1000*100</f>
        <v>15.371740618818535</v>
      </c>
      <c r="AL20" s="938"/>
    </row>
    <row r="21" spans="1:36" s="55" customFormat="1" ht="15" customHeight="1" thickBot="1">
      <c r="A21" s="232" t="s">
        <v>48</v>
      </c>
      <c r="B21" s="233"/>
      <c r="C21" s="589">
        <f>'Sheet 1 Gen &amp; Rec'!H20</f>
        <v>145697.6161048766</v>
      </c>
      <c r="D21" s="713">
        <f t="shared" si="13"/>
        <v>0.37538588527403294</v>
      </c>
      <c r="E21" s="179">
        <f t="shared" si="14"/>
        <v>11804513.752030203</v>
      </c>
      <c r="F21" s="124">
        <f t="shared" si="15"/>
        <v>36.73080544920925</v>
      </c>
      <c r="G21" s="721">
        <f>'Sheet 2 Gross &amp; Net Costs'!N20</f>
        <v>0.448965280920207</v>
      </c>
      <c r="H21" s="125">
        <f t="shared" si="16"/>
        <v>16135219.145989098</v>
      </c>
      <c r="I21" s="126">
        <f t="shared" si="17"/>
        <v>50.2061844969898</v>
      </c>
      <c r="J21" s="727">
        <f>'Sheet 2 Gross &amp; Net Costs'!S20</f>
        <v>0.1693184598209106</v>
      </c>
      <c r="K21" s="127">
        <f t="shared" si="18"/>
        <v>3803176.1179174692</v>
      </c>
      <c r="L21" s="128">
        <f t="shared" si="19"/>
        <v>11.83392429461825</v>
      </c>
      <c r="M21" s="129">
        <f t="shared" si="20"/>
        <v>31742909.01593677</v>
      </c>
      <c r="N21" s="407">
        <f t="shared" si="21"/>
        <v>98.77091424081729</v>
      </c>
      <c r="O21" s="937"/>
      <c r="P21" s="830"/>
      <c r="Q21" s="797"/>
      <c r="R21" s="234"/>
      <c r="S21" s="111">
        <f aca="true" t="shared" si="26" ref="S21:AA21">SUM(S16:S20)</f>
        <v>246539.53953953952</v>
      </c>
      <c r="T21" s="111">
        <f t="shared" si="26"/>
        <v>50417.08375041708</v>
      </c>
      <c r="U21" s="111">
        <f t="shared" si="26"/>
        <v>1054447.4603219884</v>
      </c>
      <c r="V21" s="111">
        <f>SUM(V16:V20)</f>
        <v>56719.21921921921</v>
      </c>
      <c r="W21" s="111">
        <f>+SUM(W16:W20)</f>
        <v>50000</v>
      </c>
      <c r="X21" s="111">
        <f>SUM(X16:X20)</f>
        <v>151251.25125125123</v>
      </c>
      <c r="Y21" s="235">
        <f t="shared" si="26"/>
        <v>33352283.57001918</v>
      </c>
      <c r="Z21" s="236">
        <f t="shared" si="26"/>
        <v>0</v>
      </c>
      <c r="AA21" s="135">
        <f t="shared" si="26"/>
        <v>33352283.57001918</v>
      </c>
      <c r="AB21" s="135">
        <f t="shared" si="22"/>
        <v>31742909.01593677</v>
      </c>
      <c r="AC21" s="135">
        <f>SUM(AC16:AC20)</f>
        <v>1609374.5540824153</v>
      </c>
      <c r="AD21" s="135">
        <f>SUM(AD16:AD20)</f>
        <v>33352283.57001918</v>
      </c>
      <c r="AE21" s="135">
        <f>SUM(AE16:AE20)</f>
        <v>33352283.57001918</v>
      </c>
      <c r="AF21" s="381">
        <f>SUM(AF16:AF20)</f>
        <v>321379.115096</v>
      </c>
      <c r="AG21" s="739">
        <f t="shared" si="23"/>
        <v>103.77862780553251</v>
      </c>
      <c r="AH21" s="732">
        <f t="shared" si="24"/>
        <v>10.37786278055325</v>
      </c>
      <c r="AI21" s="191">
        <f t="shared" si="25"/>
        <v>103.77862780553251</v>
      </c>
      <c r="AJ21" s="192">
        <f t="shared" si="10"/>
        <v>10.37786278055325</v>
      </c>
    </row>
    <row r="22" spans="1:38" s="99" customFormat="1" ht="15" customHeight="1">
      <c r="A22" s="237" t="s">
        <v>43</v>
      </c>
      <c r="B22" s="238" t="s">
        <v>148</v>
      </c>
      <c r="C22" s="588">
        <f>'Sheet 1 Gen &amp; Rec'!H21</f>
        <v>22685.839796329903</v>
      </c>
      <c r="D22" s="711">
        <f aca="true" t="shared" si="27" ref="D22:D27">C22/$C$39</f>
        <v>0.058449439893376226</v>
      </c>
      <c r="E22" s="139">
        <f t="shared" si="14"/>
        <v>1838021.2045430106</v>
      </c>
      <c r="F22" s="479">
        <f t="shared" si="15"/>
        <v>34.26596278520313</v>
      </c>
      <c r="G22" s="716">
        <f>'Sheet 2 Gross &amp; Net Costs'!N21</f>
        <v>0.16120185973506246</v>
      </c>
      <c r="H22" s="141">
        <f t="shared" si="16"/>
        <v>5793381.903017351</v>
      </c>
      <c r="I22" s="480">
        <f t="shared" si="17"/>
        <v>108.00517872078579</v>
      </c>
      <c r="J22" s="722">
        <f>'Sheet 2 Gross &amp; Net Costs'!S21</f>
        <v>0.00317161415380474</v>
      </c>
      <c r="K22" s="143">
        <f t="shared" si="18"/>
        <v>71239.76451095466</v>
      </c>
      <c r="L22" s="481">
        <f t="shared" si="19"/>
        <v>1.328112599313532</v>
      </c>
      <c r="M22" s="145">
        <f t="shared" si="20"/>
        <v>7702642.8720713165</v>
      </c>
      <c r="N22" s="482">
        <f t="shared" si="21"/>
        <v>143.59925410530246</v>
      </c>
      <c r="O22" s="933">
        <f>+$O$6*$C$6*C22/($C$13+$C$21+$C$28+$C$32+$C$35+$C$38)+$O$6*$G$6*'Sheet 2 Gross &amp; Net Costs'!K21/'Sheet 2 Gross &amp; Net Costs'!$K$41+$O$6*'Sheet 3 Disaggregated Fees'!$J$6*'Sheet 2 Gross &amp; Net Costs'!P21/'Sheet 2 Gross &amp; Net Costs'!$P$41</f>
        <v>0</v>
      </c>
      <c r="P22" s="824"/>
      <c r="Q22" s="791"/>
      <c r="R22" s="159"/>
      <c r="S22" s="147">
        <f>S$6*'Sheet 1 Gen &amp; Rec'!$O21</f>
        <v>70021.05834581399</v>
      </c>
      <c r="T22" s="147">
        <f>T$6*'Sheet 1 Gen &amp; Rec'!$O21</f>
        <v>14319.234835544783</v>
      </c>
      <c r="U22" s="147">
        <f>U$6*'Sheet 1 Gen &amp; Rec'!$O21</f>
        <v>299479.4558296807</v>
      </c>
      <c r="V22" s="147">
        <f>V$6*'Sheet 1 Gen &amp; Rec'!$O21</f>
        <v>16109.139189987882</v>
      </c>
      <c r="W22" s="147"/>
      <c r="X22" s="147">
        <f>X$6*'Sheet 1 Gen &amp; Rec'!$O21</f>
        <v>42957.70450663435</v>
      </c>
      <c r="Y22" s="148">
        <f aca="true" t="shared" si="28" ref="Y22:Y27">SUM(M22,O22:X22)</f>
        <v>8145529.464778978</v>
      </c>
      <c r="Z22" s="154"/>
      <c r="AA22" s="150">
        <f aca="true" t="shared" si="29" ref="AA22:AA27">Y22-Z22</f>
        <v>8145529.464778978</v>
      </c>
      <c r="AB22" s="388">
        <f t="shared" si="22"/>
        <v>7702642.8720713165</v>
      </c>
      <c r="AC22" s="388">
        <f aca="true" t="shared" si="30" ref="AC22:AC27">SUM(P22:X22)</f>
        <v>442886.59270766174</v>
      </c>
      <c r="AD22" s="150">
        <f aca="true" t="shared" si="31" ref="AD22:AD27">AA22</f>
        <v>8145529.464778978</v>
      </c>
      <c r="AE22" s="150">
        <f aca="true" t="shared" si="32" ref="AE22:AE27">AA22+Z22</f>
        <v>8145529.464778978</v>
      </c>
      <c r="AF22" s="380">
        <f>+VLOOKUP(B22,Parameters!$D$6:$E$28,2,0)</f>
        <v>53639.852936999996</v>
      </c>
      <c r="AG22" s="738">
        <f aca="true" t="shared" si="33" ref="AG22:AG28">AD22/AF22</f>
        <v>151.85592463025398</v>
      </c>
      <c r="AH22" s="729">
        <f aca="true" t="shared" si="34" ref="AH22:AH28">AG22/1000*100</f>
        <v>15.1855924630254</v>
      </c>
      <c r="AI22" s="229">
        <f t="shared" si="25"/>
        <v>151.85592463025398</v>
      </c>
      <c r="AJ22" s="160">
        <f t="shared" si="10"/>
        <v>15.1855924630254</v>
      </c>
      <c r="AL22" s="938"/>
    </row>
    <row r="23" spans="1:38" s="99" customFormat="1" ht="15" customHeight="1">
      <c r="A23" s="27"/>
      <c r="B23" s="155" t="s">
        <v>149</v>
      </c>
      <c r="C23" s="588">
        <f>'Sheet 1 Gen &amp; Rec'!H22</f>
        <v>11640.11533843174</v>
      </c>
      <c r="D23" s="711">
        <f t="shared" si="27"/>
        <v>0.02999043579315501</v>
      </c>
      <c r="E23" s="139">
        <f t="shared" si="14"/>
        <v>943089.5663304962</v>
      </c>
      <c r="F23" s="156">
        <f t="shared" si="15"/>
        <v>36.550189094692776</v>
      </c>
      <c r="G23" s="716">
        <f>'Sheet 2 Gross &amp; Net Costs'!N22</f>
        <v>0.06058644176282409</v>
      </c>
      <c r="H23" s="162">
        <f t="shared" si="16"/>
        <v>2177396.6866997313</v>
      </c>
      <c r="I23" s="157">
        <f t="shared" si="17"/>
        <v>84.38674700080733</v>
      </c>
      <c r="J23" s="722">
        <f>'Sheet 2 Gross &amp; Net Costs'!S22</f>
        <v>0.0030433142518318085</v>
      </c>
      <c r="K23" s="163">
        <f t="shared" si="18"/>
        <v>68357.93388462656</v>
      </c>
      <c r="L23" s="158">
        <f t="shared" si="19"/>
        <v>2.649266303864542</v>
      </c>
      <c r="M23" s="164">
        <f t="shared" si="20"/>
        <v>3188844.186914854</v>
      </c>
      <c r="N23" s="403">
        <f t="shared" si="21"/>
        <v>123.58620239936467</v>
      </c>
      <c r="O23" s="933">
        <f>+$O$6*$C$6*C23/($C$13+$C$21+$C$28+$C$32+$C$35+$C$38)+$O$6*$G$6*'Sheet 2 Gross &amp; Net Costs'!K22/'Sheet 2 Gross &amp; Net Costs'!$K$41+$O$6*'Sheet 3 Disaggregated Fees'!$J$6*'Sheet 2 Gross &amp; Net Costs'!P22/'Sheet 2 Gross &amp; Net Costs'!$P$41</f>
        <v>0</v>
      </c>
      <c r="P23" s="825"/>
      <c r="Q23" s="791"/>
      <c r="R23" s="866"/>
      <c r="S23" s="147">
        <f>S$6*'Sheet 1 Gen &amp; Rec'!$O22</f>
        <v>30720.580741069163</v>
      </c>
      <c r="T23" s="147">
        <f>T$6*'Sheet 1 Gen &amp; Rec'!$O22</f>
        <v>6282.327349911894</v>
      </c>
      <c r="U23" s="147">
        <f>U$6*'Sheet 1 Gen &amp; Rec'!$O22</f>
        <v>131391.65588829134</v>
      </c>
      <c r="V23" s="147">
        <f>V$6*'Sheet 1 Gen &amp; Rec'!$O22</f>
        <v>7067.618268650881</v>
      </c>
      <c r="W23" s="147"/>
      <c r="X23" s="147">
        <f>X$6*'Sheet 1 Gen &amp; Rec'!$O22</f>
        <v>18846.98204973568</v>
      </c>
      <c r="Y23" s="148">
        <f t="shared" si="28"/>
        <v>3383153.3512125136</v>
      </c>
      <c r="Z23" s="166"/>
      <c r="AA23" s="150">
        <f t="shared" si="29"/>
        <v>3383153.3512125136</v>
      </c>
      <c r="AB23" s="388">
        <f t="shared" si="22"/>
        <v>3188844.186914854</v>
      </c>
      <c r="AC23" s="388">
        <f t="shared" si="30"/>
        <v>194309.16429765892</v>
      </c>
      <c r="AD23" s="150">
        <f t="shared" si="31"/>
        <v>3383153.3512125136</v>
      </c>
      <c r="AE23" s="150">
        <f t="shared" si="32"/>
        <v>3383153.3512125136</v>
      </c>
      <c r="AF23" s="380">
        <f>+VLOOKUP(B23,Parameters!$D$6:$E$28,2,0)</f>
        <v>25802.590621</v>
      </c>
      <c r="AG23" s="738">
        <f t="shared" si="33"/>
        <v>131.11680919585882</v>
      </c>
      <c r="AH23" s="730">
        <f t="shared" si="34"/>
        <v>13.111680919585883</v>
      </c>
      <c r="AI23" s="230">
        <f t="shared" si="25"/>
        <v>131.11680919585882</v>
      </c>
      <c r="AJ23" s="168">
        <f t="shared" si="10"/>
        <v>13.111680919585883</v>
      </c>
      <c r="AL23" s="938"/>
    </row>
    <row r="24" spans="1:38" s="99" customFormat="1" ht="15" customHeight="1">
      <c r="A24" s="22"/>
      <c r="B24" s="161" t="s">
        <v>6</v>
      </c>
      <c r="C24" s="588">
        <f>'Sheet 1 Gen &amp; Rec'!H23</f>
        <v>52122.8261989534</v>
      </c>
      <c r="D24" s="711">
        <f t="shared" si="27"/>
        <v>0.1342930226229267</v>
      </c>
      <c r="E24" s="139">
        <f t="shared" si="14"/>
        <v>4223024.611585472</v>
      </c>
      <c r="F24" s="156">
        <f t="shared" si="15"/>
        <v>84.90626874729435</v>
      </c>
      <c r="G24" s="716">
        <f>'Sheet 2 Gross &amp; Net Costs'!N23</f>
        <v>0.0473090296489402</v>
      </c>
      <c r="H24" s="162">
        <f t="shared" si="16"/>
        <v>1700224.0338165744</v>
      </c>
      <c r="I24" s="157">
        <f t="shared" si="17"/>
        <v>34.183953924824806</v>
      </c>
      <c r="J24" s="722">
        <f>'Sheet 2 Gross &amp; Net Costs'!S23</f>
        <v>0.34429035762044324</v>
      </c>
      <c r="K24" s="163">
        <f t="shared" si="18"/>
        <v>7733337.919068561</v>
      </c>
      <c r="L24" s="158">
        <f t="shared" si="19"/>
        <v>155.48307861354454</v>
      </c>
      <c r="M24" s="164">
        <f t="shared" si="20"/>
        <v>13656586.564470606</v>
      </c>
      <c r="N24" s="403">
        <f t="shared" si="21"/>
        <v>274.57330128566366</v>
      </c>
      <c r="O24" s="933">
        <f>+$O$6*$C$6*C24/($C$13+$C$21+$C$28+$C$32+$C$35+$C$38)+$O$6*$G$6*'Sheet 2 Gross &amp; Net Costs'!K23/'Sheet 2 Gross &amp; Net Costs'!$K$41+$O$6*'Sheet 3 Disaggregated Fees'!$J$6*'Sheet 2 Gross &amp; Net Costs'!P23/'Sheet 2 Gross &amp; Net Costs'!$P$41</f>
        <v>0</v>
      </c>
      <c r="P24" s="825"/>
      <c r="Q24" s="791"/>
      <c r="R24" s="159"/>
      <c r="S24" s="147">
        <f>S$6*'Sheet 1 Gen &amp; Rec'!$O23</f>
        <v>109107.50398037203</v>
      </c>
      <c r="T24" s="147">
        <f>T$6*'Sheet 1 Gen &amp; Rec'!$O23</f>
        <v>22312.37300212107</v>
      </c>
      <c r="U24" s="147">
        <f>U$6*'Sheet 1 Gen &amp; Rec'!$O23</f>
        <v>466651.84290134266</v>
      </c>
      <c r="V24" s="147">
        <f>V$6*'Sheet 1 Gen &amp; Rec'!$O23</f>
        <v>25101.419627386204</v>
      </c>
      <c r="W24" s="147"/>
      <c r="X24" s="147">
        <f>X$6*'Sheet 1 Gen &amp; Rec'!$O23</f>
        <v>66937.11900636321</v>
      </c>
      <c r="Y24" s="148">
        <f t="shared" si="28"/>
        <v>14346696.822988193</v>
      </c>
      <c r="Z24" s="166"/>
      <c r="AA24" s="150">
        <f t="shared" si="29"/>
        <v>14346696.822988193</v>
      </c>
      <c r="AB24" s="388">
        <f t="shared" si="22"/>
        <v>13656586.564470606</v>
      </c>
      <c r="AC24" s="388">
        <f t="shared" si="30"/>
        <v>690110.2585175852</v>
      </c>
      <c r="AD24" s="150">
        <f t="shared" si="31"/>
        <v>14346696.822988193</v>
      </c>
      <c r="AE24" s="150">
        <f t="shared" si="32"/>
        <v>14346696.822988193</v>
      </c>
      <c r="AF24" s="380">
        <f>+VLOOKUP(B24,Parameters!$D$6:$E$28,2,0)</f>
        <v>49737.489043999994</v>
      </c>
      <c r="AG24" s="738">
        <f t="shared" si="33"/>
        <v>288.44835352055003</v>
      </c>
      <c r="AH24" s="730">
        <f t="shared" si="34"/>
        <v>28.844835352055004</v>
      </c>
      <c r="AI24" s="230">
        <f t="shared" si="25"/>
        <v>288.44835352055003</v>
      </c>
      <c r="AJ24" s="168">
        <f t="shared" si="10"/>
        <v>28.844835352055004</v>
      </c>
      <c r="AL24" s="938"/>
    </row>
    <row r="25" spans="1:38" s="99" customFormat="1" ht="15" customHeight="1">
      <c r="A25" s="22"/>
      <c r="B25" s="161" t="s">
        <v>186</v>
      </c>
      <c r="C25" s="588">
        <f>'Sheet 1 Gen &amp; Rec'!H24</f>
        <v>35036.87853472986</v>
      </c>
      <c r="D25" s="711">
        <f t="shared" si="27"/>
        <v>0.0902715501983983</v>
      </c>
      <c r="E25" s="139">
        <f t="shared" si="14"/>
        <v>2838710.2380159483</v>
      </c>
      <c r="F25" s="156">
        <f t="shared" si="15"/>
        <v>129.5902498056287</v>
      </c>
      <c r="G25" s="716">
        <f>'Sheet 2 Gross &amp; Net Costs'!N24</f>
        <v>0.007088151017023872</v>
      </c>
      <c r="H25" s="162">
        <f t="shared" si="16"/>
        <v>254738.78462301864</v>
      </c>
      <c r="I25" s="157">
        <f t="shared" si="17"/>
        <v>11.629106166732955</v>
      </c>
      <c r="J25" s="722">
        <f>'Sheet 2 Gross &amp; Net Costs'!S24</f>
        <v>0.2427734783654129</v>
      </c>
      <c r="K25" s="163">
        <f t="shared" si="18"/>
        <v>5453098.829033078</v>
      </c>
      <c r="L25" s="158">
        <f t="shared" si="19"/>
        <v>248.93996928798472</v>
      </c>
      <c r="M25" s="164">
        <f t="shared" si="20"/>
        <v>8546547.851672046</v>
      </c>
      <c r="N25" s="403">
        <f t="shared" si="21"/>
        <v>390.15932526034646</v>
      </c>
      <c r="O25" s="933">
        <f>+$O$6*$C$6*C25/($C$13+$C$21+$C$28+$C$32+$C$35+$C$38)+$O$6*$G$6*'Sheet 2 Gross &amp; Net Costs'!K24/'Sheet 2 Gross &amp; Net Costs'!$K$41+$O$6*'Sheet 3 Disaggregated Fees'!$J$6*'Sheet 2 Gross &amp; Net Costs'!P24/'Sheet 2 Gross &amp; Net Costs'!$P$41</f>
        <v>0</v>
      </c>
      <c r="P25" s="825"/>
      <c r="Q25" s="791"/>
      <c r="R25" s="159"/>
      <c r="S25" s="147">
        <f>S$6*'Sheet 1 Gen &amp; Rec'!$O24</f>
        <v>43744.6266714741</v>
      </c>
      <c r="T25" s="147">
        <f>T$6*'Sheet 1 Gen &amp; Rec'!$O24</f>
        <v>8945.731425659325</v>
      </c>
      <c r="U25" s="147">
        <f>U$6*'Sheet 1 Gen &amp; Rec'!$O24</f>
        <v>187095.38673844945</v>
      </c>
      <c r="V25" s="147">
        <f>V$6*'Sheet 1 Gen &amp; Rec'!$O24</f>
        <v>10063.94785386674</v>
      </c>
      <c r="W25" s="147"/>
      <c r="X25" s="147">
        <f>X$6*'Sheet 1 Gen &amp; Rec'!$O24</f>
        <v>26837.194276977978</v>
      </c>
      <c r="Y25" s="148">
        <f t="shared" si="28"/>
        <v>8823234.738638474</v>
      </c>
      <c r="Z25" s="166"/>
      <c r="AA25" s="150">
        <f t="shared" si="29"/>
        <v>8823234.738638474</v>
      </c>
      <c r="AB25" s="388">
        <f t="shared" si="22"/>
        <v>8546547.851672046</v>
      </c>
      <c r="AC25" s="388">
        <f t="shared" si="30"/>
        <v>276686.8869664276</v>
      </c>
      <c r="AD25" s="150">
        <f t="shared" si="31"/>
        <v>8823234.738638474</v>
      </c>
      <c r="AE25" s="150">
        <f t="shared" si="32"/>
        <v>8823234.738638474</v>
      </c>
      <c r="AF25" s="380">
        <f>+VLOOKUP(B25,Parameters!$D$6:$E$28,2,0)</f>
        <v>21905.276379000003</v>
      </c>
      <c r="AG25" s="738">
        <f t="shared" si="33"/>
        <v>402.79038647953655</v>
      </c>
      <c r="AH25" s="730">
        <f t="shared" si="34"/>
        <v>40.279038647953655</v>
      </c>
      <c r="AI25" s="230">
        <f t="shared" si="25"/>
        <v>402.79038647953655</v>
      </c>
      <c r="AJ25" s="168">
        <f>AI25/1000*100</f>
        <v>40.279038647953655</v>
      </c>
      <c r="AL25" s="938"/>
    </row>
    <row r="26" spans="1:38" s="99" customFormat="1" ht="15" customHeight="1">
      <c r="A26" s="22"/>
      <c r="B26" s="161" t="s">
        <v>7</v>
      </c>
      <c r="C26" s="588">
        <f>'Sheet 1 Gen &amp; Rec'!H25</f>
        <v>21454.885487097283</v>
      </c>
      <c r="D26" s="711">
        <f t="shared" si="27"/>
        <v>0.05527792010151803</v>
      </c>
      <c r="E26" s="139">
        <f t="shared" si="14"/>
        <v>1738288.5015659234</v>
      </c>
      <c r="F26" s="156">
        <f t="shared" si="15"/>
        <v>111.10973060257277</v>
      </c>
      <c r="G26" s="716">
        <f>'Sheet 2 Gross &amp; Net Costs'!N25</f>
        <v>0.010607821941631877</v>
      </c>
      <c r="H26" s="162">
        <f t="shared" si="16"/>
        <v>381231.1084256902</v>
      </c>
      <c r="I26" s="157">
        <f t="shared" si="17"/>
        <v>24.36792610452197</v>
      </c>
      <c r="J26" s="722">
        <f>'Sheet 2 Gross &amp; Net Costs'!S25</f>
        <v>0.10103256995004786</v>
      </c>
      <c r="K26" s="163">
        <f t="shared" si="18"/>
        <v>2269360.692108035</v>
      </c>
      <c r="L26" s="158">
        <f t="shared" si="19"/>
        <v>145.05535468539674</v>
      </c>
      <c r="M26" s="164">
        <f t="shared" si="20"/>
        <v>4388880.302099649</v>
      </c>
      <c r="N26" s="403">
        <f t="shared" si="21"/>
        <v>280.53301139249146</v>
      </c>
      <c r="O26" s="933">
        <f>+$O$6*$C$6*C26/($C$13+$C$21+$C$28+$C$32+$C$35+$C$38)+$O$6*$G$6*'Sheet 2 Gross &amp; Net Costs'!K25/'Sheet 2 Gross &amp; Net Costs'!$K$41+$O$6*'Sheet 3 Disaggregated Fees'!$J$6*'Sheet 2 Gross &amp; Net Costs'!P25/'Sheet 2 Gross &amp; Net Costs'!$P$41</f>
        <v>0</v>
      </c>
      <c r="P26" s="825"/>
      <c r="Q26" s="791"/>
      <c r="R26" s="159"/>
      <c r="S26" s="147">
        <f>S$6*'Sheet 1 Gen &amp; Rec'!$O25</f>
        <v>52495.217871072906</v>
      </c>
      <c r="T26" s="147">
        <f>T$6*'Sheet 1 Gen &amp; Rec'!$O25</f>
        <v>10735.218378542517</v>
      </c>
      <c r="U26" s="147">
        <f>U$6*'Sheet 1 Gen &amp; Rec'!$O25</f>
        <v>224521.58897751497</v>
      </c>
      <c r="V26" s="147">
        <f>V$6*'Sheet 1 Gen &amp; Rec'!$O25</f>
        <v>12077.120675860331</v>
      </c>
      <c r="W26" s="147"/>
      <c r="X26" s="147">
        <f>X$6*'Sheet 1 Gen &amp; Rec'!$O25</f>
        <v>32205.65513562755</v>
      </c>
      <c r="Y26" s="148">
        <f t="shared" si="28"/>
        <v>4720915.103138267</v>
      </c>
      <c r="Z26" s="166"/>
      <c r="AA26" s="150">
        <f t="shared" si="29"/>
        <v>4720915.103138267</v>
      </c>
      <c r="AB26" s="388">
        <f t="shared" si="22"/>
        <v>4388880.302099649</v>
      </c>
      <c r="AC26" s="388">
        <f t="shared" si="30"/>
        <v>332034.80103861826</v>
      </c>
      <c r="AD26" s="150">
        <f t="shared" si="31"/>
        <v>4720915.103138267</v>
      </c>
      <c r="AE26" s="150">
        <f t="shared" si="32"/>
        <v>4720915.103138267</v>
      </c>
      <c r="AF26" s="380">
        <f>+VLOOKUP(B26,Parameters!$D$6:$E$28,2,0)</f>
        <v>15644.790894</v>
      </c>
      <c r="AG26" s="738">
        <f t="shared" si="33"/>
        <v>301.75635680428337</v>
      </c>
      <c r="AH26" s="730">
        <f t="shared" si="34"/>
        <v>30.175635680428336</v>
      </c>
      <c r="AI26" s="230">
        <f t="shared" si="25"/>
        <v>301.75635680428337</v>
      </c>
      <c r="AJ26" s="168">
        <f t="shared" si="10"/>
        <v>30.175635680428336</v>
      </c>
      <c r="AL26" s="938"/>
    </row>
    <row r="27" spans="1:38" s="99" customFormat="1" ht="15" customHeight="1">
      <c r="A27" s="22"/>
      <c r="B27" s="169" t="s">
        <v>8</v>
      </c>
      <c r="C27" s="588">
        <f>'Sheet 1 Gen &amp; Rec'!H26</f>
        <v>53770.57476808173</v>
      </c>
      <c r="D27" s="711">
        <f t="shared" si="27"/>
        <v>0.13853840131797698</v>
      </c>
      <c r="E27" s="139">
        <f t="shared" si="14"/>
        <v>4356526.251242789</v>
      </c>
      <c r="F27" s="197">
        <f t="shared" si="15"/>
        <v>66.17688713139226</v>
      </c>
      <c r="G27" s="717">
        <f>'Sheet 2 Gross &amp; Net Costs'!N26</f>
        <v>0.19785643766998356</v>
      </c>
      <c r="H27" s="170">
        <f t="shared" si="16"/>
        <v>7110699.015983156</v>
      </c>
      <c r="I27" s="199">
        <f t="shared" si="17"/>
        <v>108.01356380482758</v>
      </c>
      <c r="J27" s="723">
        <f>'Sheet 2 Gross &amp; Net Costs'!S26</f>
        <v>0.1343073113388644</v>
      </c>
      <c r="K27" s="171">
        <f t="shared" si="18"/>
        <v>3016767.099617763</v>
      </c>
      <c r="L27" s="201">
        <f t="shared" si="19"/>
        <v>45.82556016875849</v>
      </c>
      <c r="M27" s="172">
        <f t="shared" si="20"/>
        <v>14483992.366843708</v>
      </c>
      <c r="N27" s="405">
        <f t="shared" si="21"/>
        <v>220.01601110497833</v>
      </c>
      <c r="O27" s="933">
        <f>+$O$6*$C$6*C27/($C$13+$C$21+$C$28+$C$32+$C$35+$C$38)+$O$6*$G$6*'Sheet 2 Gross &amp; Net Costs'!K26/'Sheet 2 Gross &amp; Net Costs'!$K$41+$O$6*'Sheet 3 Disaggregated Fees'!$J$6*'Sheet 2 Gross &amp; Net Costs'!P26/'Sheet 2 Gross &amp; Net Costs'!$P$41</f>
        <v>0</v>
      </c>
      <c r="P27" s="826"/>
      <c r="Q27" s="798"/>
      <c r="R27" s="159"/>
      <c r="S27" s="475">
        <f>S$6*'Sheet 1 Gen &amp; Rec'!$O26</f>
        <v>102471.57295075839</v>
      </c>
      <c r="T27" s="475">
        <f>T$6*'Sheet 1 Gen &amp; Rec'!$O26</f>
        <v>20955.33189177063</v>
      </c>
      <c r="U27" s="475">
        <f>U$6*'Sheet 1 Gen &amp; Rec'!$O26</f>
        <v>438270.02376548847</v>
      </c>
      <c r="V27" s="475">
        <f>V$6*'Sheet 1 Gen &amp; Rec'!$O26</f>
        <v>23574.748378241962</v>
      </c>
      <c r="W27" s="475"/>
      <c r="X27" s="475">
        <f>X$6*'Sheet 1 Gen &amp; Rec'!$O26</f>
        <v>62865.9956753119</v>
      </c>
      <c r="Y27" s="476">
        <f t="shared" si="28"/>
        <v>15132130.039505279</v>
      </c>
      <c r="Z27" s="174"/>
      <c r="AA27" s="231">
        <f t="shared" si="29"/>
        <v>15132130.039505279</v>
      </c>
      <c r="AB27" s="784">
        <f t="shared" si="22"/>
        <v>14483992.366843708</v>
      </c>
      <c r="AC27" s="784">
        <f t="shared" si="30"/>
        <v>648137.6726615714</v>
      </c>
      <c r="AD27" s="150">
        <f t="shared" si="31"/>
        <v>15132130.039505279</v>
      </c>
      <c r="AE27" s="150">
        <f t="shared" si="32"/>
        <v>15132130.039505279</v>
      </c>
      <c r="AF27" s="380">
        <f>+VLOOKUP(B27,Parameters!$D$6:$E$28,2,0)</f>
        <v>65831.537869</v>
      </c>
      <c r="AG27" s="738">
        <f t="shared" si="33"/>
        <v>229.86140882227485</v>
      </c>
      <c r="AH27" s="731">
        <f t="shared" si="34"/>
        <v>22.986140882227485</v>
      </c>
      <c r="AI27" s="175">
        <f t="shared" si="25"/>
        <v>229.86140882227485</v>
      </c>
      <c r="AJ27" s="176">
        <f t="shared" si="10"/>
        <v>22.986140882227485</v>
      </c>
      <c r="AL27" s="938"/>
    </row>
    <row r="28" spans="1:36" s="55" customFormat="1" ht="15" customHeight="1" thickBot="1">
      <c r="A28" s="232" t="s">
        <v>52</v>
      </c>
      <c r="B28" s="233"/>
      <c r="C28" s="589">
        <f>'Sheet 1 Gen &amp; Rec'!H27</f>
        <v>196711.12012362393</v>
      </c>
      <c r="D28" s="713">
        <f aca="true" t="shared" si="35" ref="D28:D38">C28/$C$39</f>
        <v>0.5068207699273513</v>
      </c>
      <c r="E28" s="179">
        <f t="shared" si="14"/>
        <v>15937660.37328364</v>
      </c>
      <c r="F28" s="124">
        <f t="shared" si="15"/>
        <v>68.53093821054605</v>
      </c>
      <c r="G28" s="721">
        <f>'Sheet 2 Gross &amp; Net Costs'!N27</f>
        <v>0.484649741775466</v>
      </c>
      <c r="H28" s="125">
        <f t="shared" si="16"/>
        <v>17417671.53256552</v>
      </c>
      <c r="I28" s="126">
        <f t="shared" si="17"/>
        <v>74.89489320344369</v>
      </c>
      <c r="J28" s="727">
        <f>'Sheet 2 Gross &amp; Net Costs'!S27</f>
        <v>0.8286186456804049</v>
      </c>
      <c r="K28" s="127">
        <f t="shared" si="18"/>
        <v>18612162.238223016</v>
      </c>
      <c r="L28" s="128">
        <f t="shared" si="19"/>
        <v>80.0311281855686</v>
      </c>
      <c r="M28" s="129">
        <f t="shared" si="20"/>
        <v>51967494.144072175</v>
      </c>
      <c r="N28" s="407">
        <f t="shared" si="21"/>
        <v>223.45695959955833</v>
      </c>
      <c r="O28" s="937"/>
      <c r="P28" s="830"/>
      <c r="Q28" s="797"/>
      <c r="R28" s="234"/>
      <c r="S28" s="111">
        <f aca="true" t="shared" si="36" ref="S28:AA28">SUM(S22:S27)</f>
        <v>408560.56056056055</v>
      </c>
      <c r="T28" s="111">
        <f t="shared" si="36"/>
        <v>83550.21688355022</v>
      </c>
      <c r="U28" s="111">
        <f t="shared" si="36"/>
        <v>1747409.9541007678</v>
      </c>
      <c r="V28" s="111">
        <f>SUM(V22:V27)</f>
        <v>93993.993993994</v>
      </c>
      <c r="W28" s="111">
        <f>SUM(W22:W27)</f>
        <v>0</v>
      </c>
      <c r="X28" s="111">
        <f>SUM(X22:X27)</f>
        <v>250650.65065065064</v>
      </c>
      <c r="Y28" s="235">
        <f t="shared" si="36"/>
        <v>54551659.520261705</v>
      </c>
      <c r="Z28" s="236">
        <f t="shared" si="36"/>
        <v>0</v>
      </c>
      <c r="AA28" s="135">
        <f t="shared" si="36"/>
        <v>54551659.520261705</v>
      </c>
      <c r="AB28" s="135">
        <f t="shared" si="22"/>
        <v>51967494.144072175</v>
      </c>
      <c r="AC28" s="135">
        <f>SUM(AC22:AC27)</f>
        <v>2584165.376189523</v>
      </c>
      <c r="AD28" s="135">
        <f>SUM(AD22:AD27)</f>
        <v>54551659.520261705</v>
      </c>
      <c r="AE28" s="135">
        <f>SUM(AE22:AE27)</f>
        <v>54551659.520261705</v>
      </c>
      <c r="AF28" s="381">
        <f>SUM(AF22:AF27)</f>
        <v>232561.53774400003</v>
      </c>
      <c r="AG28" s="739">
        <f t="shared" si="33"/>
        <v>234.56870834897595</v>
      </c>
      <c r="AH28" s="732">
        <f t="shared" si="34"/>
        <v>23.456870834897593</v>
      </c>
      <c r="AI28" s="191">
        <f t="shared" si="25"/>
        <v>234.56870834897595</v>
      </c>
      <c r="AJ28" s="192">
        <f t="shared" si="10"/>
        <v>23.456870834897593</v>
      </c>
    </row>
    <row r="29" spans="1:38" s="99" customFormat="1" ht="15" customHeight="1">
      <c r="A29" s="22" t="s">
        <v>44</v>
      </c>
      <c r="B29" s="155" t="s">
        <v>100</v>
      </c>
      <c r="C29" s="588">
        <f>'Sheet 1 Gen &amp; Rec'!H28</f>
        <v>12808.372894061042</v>
      </c>
      <c r="D29" s="711">
        <f t="shared" si="35"/>
        <v>0.03300041913037246</v>
      </c>
      <c r="E29" s="139">
        <f t="shared" si="14"/>
        <v>1037742.5383558752</v>
      </c>
      <c r="F29" s="479">
        <f t="shared" si="15"/>
        <v>26.68490289097713</v>
      </c>
      <c r="G29" s="716">
        <f>'Sheet 2 Gross &amp; Net Costs'!N28</f>
        <v>0.016362879533555207</v>
      </c>
      <c r="H29" s="141">
        <f t="shared" si="16"/>
        <v>588060.276269461</v>
      </c>
      <c r="I29" s="480">
        <f t="shared" si="17"/>
        <v>15.121603660146334</v>
      </c>
      <c r="J29" s="722">
        <f>'Sheet 2 Gross &amp; Net Costs'!S28</f>
        <v>0</v>
      </c>
      <c r="K29" s="143">
        <f t="shared" si="18"/>
        <v>0</v>
      </c>
      <c r="L29" s="481">
        <f t="shared" si="19"/>
        <v>0</v>
      </c>
      <c r="M29" s="145">
        <f t="shared" si="20"/>
        <v>1625802.8146253363</v>
      </c>
      <c r="N29" s="482">
        <f t="shared" si="21"/>
        <v>41.80650655112347</v>
      </c>
      <c r="O29" s="933">
        <f>+$O$6*$C$6*C29/($C$13+$C$21+$C$28+$C$32+$C$35+$C$38)+$O$6*$G$6*'Sheet 2 Gross &amp; Net Costs'!K28/'Sheet 2 Gross &amp; Net Costs'!$K$41+$O$6*'Sheet 3 Disaggregated Fees'!$J$6*'Sheet 2 Gross &amp; Net Costs'!P28/'Sheet 2 Gross &amp; Net Costs'!$P$41</f>
        <v>0</v>
      </c>
      <c r="P29" s="824"/>
      <c r="Q29" s="791"/>
      <c r="R29" s="159"/>
      <c r="S29" s="147">
        <f>S$6*'Sheet 1 Gen &amp; Rec'!$O28</f>
        <v>46135.73325514836</v>
      </c>
      <c r="T29" s="147">
        <f>T$6*'Sheet 1 Gen &amp; Rec'!$O28</f>
        <v>9434.710277126454</v>
      </c>
      <c r="U29" s="147">
        <f>U$6*'Sheet 1 Gen &amp; Rec'!$O28</f>
        <v>197322.12874187622</v>
      </c>
      <c r="V29" s="147">
        <f>V$6*'Sheet 1 Gen &amp; Rec'!$O28</f>
        <v>10614.04906176726</v>
      </c>
      <c r="W29" s="147"/>
      <c r="X29" s="147">
        <f>X$6*'Sheet 1 Gen &amp; Rec'!$O28</f>
        <v>28304.130831379363</v>
      </c>
      <c r="Y29" s="148">
        <f>SUM(M29,O29:X29)</f>
        <v>1917613.566792634</v>
      </c>
      <c r="Z29" s="154"/>
      <c r="AA29" s="150">
        <f>Y29-Z29</f>
        <v>1917613.566792634</v>
      </c>
      <c r="AB29" s="388">
        <f t="shared" si="22"/>
        <v>1625802.8146253363</v>
      </c>
      <c r="AC29" s="388">
        <f>SUM(P29:X29)</f>
        <v>291810.75216729764</v>
      </c>
      <c r="AD29" s="150">
        <f>AA29</f>
        <v>1917613.566792634</v>
      </c>
      <c r="AE29" s="150">
        <f>AA29+Z29</f>
        <v>1917613.566792634</v>
      </c>
      <c r="AF29" s="380">
        <f>+VLOOKUP(B29,Parameters!$D$6:$E$28,2,0)</f>
        <v>38888.750789</v>
      </c>
      <c r="AG29" s="738">
        <f aca="true" t="shared" si="37" ref="AG29:AG38">AD29/AF29</f>
        <v>49.31023825365578</v>
      </c>
      <c r="AH29" s="729">
        <f aca="true" t="shared" si="38" ref="AH29:AH38">AG29/1000*100</f>
        <v>4.931023825365578</v>
      </c>
      <c r="AI29" s="229">
        <f t="shared" si="25"/>
        <v>49.31023825365578</v>
      </c>
      <c r="AJ29" s="160">
        <f t="shared" si="10"/>
        <v>4.931023825365578</v>
      </c>
      <c r="AL29" s="938"/>
    </row>
    <row r="30" spans="1:38" s="99" customFormat="1" ht="15" customHeight="1">
      <c r="A30" s="27"/>
      <c r="B30" s="161" t="s">
        <v>101</v>
      </c>
      <c r="C30" s="588">
        <f>'Sheet 1 Gen &amp; Rec'!H29</f>
        <v>2834.424806723343</v>
      </c>
      <c r="D30" s="711">
        <f t="shared" si="35"/>
        <v>0.00730281725782409</v>
      </c>
      <c r="E30" s="139">
        <f t="shared" si="14"/>
        <v>229646.90503910967</v>
      </c>
      <c r="F30" s="156">
        <f t="shared" si="15"/>
        <v>65.18452829121807</v>
      </c>
      <c r="G30" s="716">
        <f>'Sheet 2 Gross &amp; Net Costs'!N29</f>
        <v>0.0005105525682335887</v>
      </c>
      <c r="H30" s="162">
        <f t="shared" si="16"/>
        <v>18348.584899732134</v>
      </c>
      <c r="I30" s="157">
        <f t="shared" si="17"/>
        <v>5.208186242687292</v>
      </c>
      <c r="J30" s="722">
        <f>'Sheet 2 Gross &amp; Net Costs'!S29</f>
        <v>0.0007279437868043424</v>
      </c>
      <c r="K30" s="163">
        <f t="shared" si="18"/>
        <v>16350.836335795531</v>
      </c>
      <c r="L30" s="158">
        <f t="shared" si="19"/>
        <v>4.641131799856946</v>
      </c>
      <c r="M30" s="164">
        <f t="shared" si="20"/>
        <v>264346.3262746373</v>
      </c>
      <c r="N30" s="403">
        <f t="shared" si="21"/>
        <v>75.0338463337623</v>
      </c>
      <c r="O30" s="933">
        <f>+$O$6*$C$6*C30/($C$13+$C$21+$C$28+$C$32+$C$35+$C$38)+$O$6*$G$6*'Sheet 2 Gross &amp; Net Costs'!K29/'Sheet 2 Gross &amp; Net Costs'!$K$41+$O$6*'Sheet 3 Disaggregated Fees'!$J$6*'Sheet 2 Gross &amp; Net Costs'!P29/'Sheet 2 Gross &amp; Net Costs'!$P$41</f>
        <v>0</v>
      </c>
      <c r="P30" s="825"/>
      <c r="Q30" s="792"/>
      <c r="R30" s="165"/>
      <c r="S30" s="147">
        <f>S$6*'Sheet 1 Gen &amp; Rec'!$O29</f>
        <v>4087.635864982251</v>
      </c>
      <c r="T30" s="147">
        <f>T$6*'Sheet 1 Gen &amp; Rec'!$O29</f>
        <v>835.9173548020963</v>
      </c>
      <c r="U30" s="147">
        <f>U$6*'Sheet 1 Gen &amp; Rec'!$O29</f>
        <v>17482.782942653907</v>
      </c>
      <c r="V30" s="147">
        <f>V$6*'Sheet 1 Gen &amp; Rec'!$O29</f>
        <v>940.4070241523583</v>
      </c>
      <c r="W30" s="147"/>
      <c r="X30" s="147">
        <f>X$6*'Sheet 1 Gen &amp; Rec'!$O29</f>
        <v>2507.752064406289</v>
      </c>
      <c r="Y30" s="148">
        <f>SUM(M30,O30:X30)</f>
        <v>290200.8215256342</v>
      </c>
      <c r="Z30" s="166"/>
      <c r="AA30" s="150">
        <f>Y30-Z30</f>
        <v>290200.8215256342</v>
      </c>
      <c r="AB30" s="388">
        <f t="shared" si="22"/>
        <v>264346.3262746373</v>
      </c>
      <c r="AC30" s="388">
        <f>SUM(P30:X30)</f>
        <v>25854.4952509969</v>
      </c>
      <c r="AD30" s="150">
        <f>AA30</f>
        <v>290200.8215256342</v>
      </c>
      <c r="AE30" s="150">
        <f>AA30+Z30</f>
        <v>290200.8215256342</v>
      </c>
      <c r="AF30" s="380">
        <f>+VLOOKUP(B30,Parameters!$D$6:$E$28,2,0)</f>
        <v>3523.0277960000003</v>
      </c>
      <c r="AG30" s="738">
        <f t="shared" si="37"/>
        <v>82.37256085663714</v>
      </c>
      <c r="AH30" s="730">
        <f t="shared" si="38"/>
        <v>8.237256085663713</v>
      </c>
      <c r="AI30" s="230">
        <f t="shared" si="25"/>
        <v>82.37256085663714</v>
      </c>
      <c r="AJ30" s="168">
        <f t="shared" si="10"/>
        <v>8.237256085663713</v>
      </c>
      <c r="AL30" s="938"/>
    </row>
    <row r="31" spans="1:38" s="99" customFormat="1" ht="15" customHeight="1">
      <c r="A31" s="29"/>
      <c r="B31" s="169" t="s">
        <v>102</v>
      </c>
      <c r="C31" s="588">
        <f>'Sheet 1 Gen &amp; Rec'!H30</f>
        <v>4372.639908168914</v>
      </c>
      <c r="D31" s="711">
        <f t="shared" si="35"/>
        <v>0.011265985997540385</v>
      </c>
      <c r="E31" s="139">
        <f t="shared" si="14"/>
        <v>354274.07330742443</v>
      </c>
      <c r="F31" s="197">
        <f t="shared" si="15"/>
        <v>106.63752371855435</v>
      </c>
      <c r="G31" s="717">
        <f>'Sheet 2 Gross &amp; Net Costs'!N30</f>
        <v>0.00025218054479734186</v>
      </c>
      <c r="H31" s="170">
        <f t="shared" si="16"/>
        <v>9063.035667970054</v>
      </c>
      <c r="I31" s="199">
        <f t="shared" si="17"/>
        <v>2.728000025467872</v>
      </c>
      <c r="J31" s="723">
        <f>'Sheet 2 Gross &amp; Net Costs'!S30</f>
        <v>0.001334950711880211</v>
      </c>
      <c r="K31" s="171">
        <f t="shared" si="18"/>
        <v>29985.228257980725</v>
      </c>
      <c r="L31" s="201">
        <f t="shared" si="19"/>
        <v>9.025640684668401</v>
      </c>
      <c r="M31" s="172">
        <f t="shared" si="20"/>
        <v>393322.33723337523</v>
      </c>
      <c r="N31" s="405">
        <f t="shared" si="21"/>
        <v>118.39116442869062</v>
      </c>
      <c r="O31" s="933">
        <f>+$O$6*$C$6*C31/($C$13+$C$21+$C$28+$C$32+$C$35+$C$38)+$O$6*$G$6*'Sheet 2 Gross &amp; Net Costs'!K30/'Sheet 2 Gross &amp; Net Costs'!$K$41+$O$6*'Sheet 3 Disaggregated Fees'!$J$6*'Sheet 2 Gross &amp; Net Costs'!P30/'Sheet 2 Gross &amp; Net Costs'!$P$41</f>
        <v>0</v>
      </c>
      <c r="P31" s="826"/>
      <c r="Q31" s="793"/>
      <c r="R31" s="173"/>
      <c r="S31" s="475">
        <f>S$6*'Sheet 1 Gen &amp; Rec'!$O30</f>
        <v>5252.10635534486</v>
      </c>
      <c r="T31" s="475">
        <f>T$6*'Sheet 1 Gen &amp; Rec'!$O30</f>
        <v>1074.0503794161268</v>
      </c>
      <c r="U31" s="475">
        <f>U$6*'Sheet 1 Gen &amp; Rec'!$O30</f>
        <v>22463.213073561285</v>
      </c>
      <c r="V31" s="475">
        <f>V$6*'Sheet 1 Gen &amp; Rec'!$O30</f>
        <v>1208.3066768431427</v>
      </c>
      <c r="W31" s="475"/>
      <c r="X31" s="475">
        <f>X$6*'Sheet 1 Gen &amp; Rec'!$O30</f>
        <v>3222.1511382483804</v>
      </c>
      <c r="Y31" s="476">
        <f>SUM(M31,O31:X31)</f>
        <v>426542.16485678905</v>
      </c>
      <c r="Z31" s="174"/>
      <c r="AA31" s="231">
        <f>Y31-Z31</f>
        <v>426542.16485678905</v>
      </c>
      <c r="AB31" s="784">
        <f t="shared" si="22"/>
        <v>393322.33723337523</v>
      </c>
      <c r="AC31" s="784">
        <f>SUM(P31:X31)</f>
        <v>33219.82762341379</v>
      </c>
      <c r="AD31" s="150">
        <f>AA31</f>
        <v>426542.16485678905</v>
      </c>
      <c r="AE31" s="150">
        <f>AA31+Z31</f>
        <v>426542.16485678905</v>
      </c>
      <c r="AF31" s="380">
        <f>+VLOOKUP(B31,Parameters!$D$6:$E$28,2,0)</f>
        <v>3322.2271199999996</v>
      </c>
      <c r="AG31" s="738">
        <f t="shared" si="37"/>
        <v>128.39042890505002</v>
      </c>
      <c r="AH31" s="731">
        <f t="shared" si="38"/>
        <v>12.839042890505</v>
      </c>
      <c r="AI31" s="175">
        <f t="shared" si="25"/>
        <v>128.39042890505002</v>
      </c>
      <c r="AJ31" s="176">
        <f t="shared" si="10"/>
        <v>12.839042890505</v>
      </c>
      <c r="AL31" s="938"/>
    </row>
    <row r="32" spans="1:36" s="55" customFormat="1" ht="15" customHeight="1" thickBot="1">
      <c r="A32" s="232" t="s">
        <v>44</v>
      </c>
      <c r="B32" s="233"/>
      <c r="C32" s="589">
        <f>'Sheet 1 Gen &amp; Rec'!H31</f>
        <v>20015.437608953296</v>
      </c>
      <c r="D32" s="713">
        <f t="shared" si="35"/>
        <v>0.051569222385736926</v>
      </c>
      <c r="E32" s="179">
        <f t="shared" si="14"/>
        <v>1621663.5167024091</v>
      </c>
      <c r="F32" s="124">
        <f t="shared" si="15"/>
        <v>35.458593484303435</v>
      </c>
      <c r="G32" s="721">
        <f>'Sheet 2 Gross &amp; Net Costs'!N31</f>
        <v>0.017125612646586137</v>
      </c>
      <c r="H32" s="125">
        <f t="shared" si="16"/>
        <v>615471.8968371633</v>
      </c>
      <c r="I32" s="126">
        <f t="shared" si="17"/>
        <v>13.457642455532273</v>
      </c>
      <c r="J32" s="727">
        <f>'Sheet 2 Gross &amp; Net Costs'!S31</f>
        <v>0.0020628944986845533</v>
      </c>
      <c r="K32" s="127">
        <f t="shared" si="18"/>
        <v>46336.06459377625</v>
      </c>
      <c r="L32" s="128">
        <f t="shared" si="19"/>
        <v>1.01316435941911</v>
      </c>
      <c r="M32" s="129">
        <f t="shared" si="20"/>
        <v>2283471.4781333487</v>
      </c>
      <c r="N32" s="407">
        <f t="shared" si="21"/>
        <v>49.929400299254816</v>
      </c>
      <c r="O32" s="937"/>
      <c r="P32" s="830"/>
      <c r="Q32" s="797"/>
      <c r="R32" s="234"/>
      <c r="S32" s="111">
        <f aca="true" t="shared" si="39" ref="S32:X32">SUM(S29:S31)</f>
        <v>55475.475475475476</v>
      </c>
      <c r="T32" s="111">
        <f t="shared" si="39"/>
        <v>11344.678011344677</v>
      </c>
      <c r="U32" s="111">
        <f t="shared" si="39"/>
        <v>237268.1247580914</v>
      </c>
      <c r="V32" s="111">
        <f t="shared" si="39"/>
        <v>12762.762762762763</v>
      </c>
      <c r="W32" s="111">
        <f t="shared" si="39"/>
        <v>0</v>
      </c>
      <c r="X32" s="111">
        <f t="shared" si="39"/>
        <v>34034.03403403403</v>
      </c>
      <c r="Y32" s="235">
        <f aca="true" t="shared" si="40" ref="Y32:AF32">SUM(Y29:Y31)</f>
        <v>2634356.5531750573</v>
      </c>
      <c r="Z32" s="236">
        <f t="shared" si="40"/>
        <v>0</v>
      </c>
      <c r="AA32" s="135">
        <f>SUM(AA29:AA31)</f>
        <v>2634356.5531750573</v>
      </c>
      <c r="AB32" s="135">
        <f t="shared" si="22"/>
        <v>2283471.4781333487</v>
      </c>
      <c r="AC32" s="135">
        <f>SUM(AC29:AC31)</f>
        <v>350885.0750417083</v>
      </c>
      <c r="AD32" s="135">
        <f t="shared" si="40"/>
        <v>2634356.5531750573</v>
      </c>
      <c r="AE32" s="135">
        <f t="shared" si="40"/>
        <v>2634356.5531750573</v>
      </c>
      <c r="AF32" s="381">
        <f t="shared" si="40"/>
        <v>45734.005705</v>
      </c>
      <c r="AG32" s="739">
        <f t="shared" si="37"/>
        <v>57.601701678343225</v>
      </c>
      <c r="AH32" s="732">
        <f t="shared" si="38"/>
        <v>5.760170167834323</v>
      </c>
      <c r="AI32" s="191">
        <f t="shared" si="25"/>
        <v>57.601701678343225</v>
      </c>
      <c r="AJ32" s="192">
        <f t="shared" si="10"/>
        <v>5.760170167834323</v>
      </c>
    </row>
    <row r="33" spans="1:38" s="99" customFormat="1" ht="15" customHeight="1">
      <c r="A33" s="22" t="s">
        <v>45</v>
      </c>
      <c r="B33" s="26" t="s">
        <v>103</v>
      </c>
      <c r="C33" s="588">
        <f>'Sheet 1 Gen &amp; Rec'!H32</f>
        <v>12356.865492973013</v>
      </c>
      <c r="D33" s="711">
        <f t="shared" si="35"/>
        <v>0.03183712277730649</v>
      </c>
      <c r="E33" s="139">
        <f t="shared" si="14"/>
        <v>1001161.1208435218</v>
      </c>
      <c r="F33" s="479">
        <f t="shared" si="15"/>
        <v>49.79719765502206</v>
      </c>
      <c r="G33" s="716">
        <f>'Sheet 2 Gross &amp; Net Costs'!N32</f>
        <v>-0.014523841691574408</v>
      </c>
      <c r="H33" s="141">
        <f t="shared" si="16"/>
        <v>-521967.68546308915</v>
      </c>
      <c r="I33" s="480">
        <f t="shared" si="17"/>
        <v>-25.962382539026283</v>
      </c>
      <c r="J33" s="722">
        <f>'Sheet 2 Gross &amp; Net Costs'!S32</f>
        <v>0</v>
      </c>
      <c r="K33" s="143">
        <f t="shared" si="18"/>
        <v>0</v>
      </c>
      <c r="L33" s="481">
        <f t="shared" si="19"/>
        <v>0</v>
      </c>
      <c r="M33" s="145">
        <f t="shared" si="20"/>
        <v>479193.43538043264</v>
      </c>
      <c r="N33" s="482">
        <f t="shared" si="21"/>
        <v>23.834815115995774</v>
      </c>
      <c r="O33" s="933">
        <f>+$O$6*$C$6*C33/($C$13+$C$21+$C$28+$C$32+$C$35+$C$38)+$O$6*$G$6*'Sheet 2 Gross &amp; Net Costs'!K32/'Sheet 2 Gross &amp; Net Costs'!$K$41+$O$6*'Sheet 3 Disaggregated Fees'!$J$6*'Sheet 2 Gross &amp; Net Costs'!P32/'Sheet 2 Gross &amp; Net Costs'!$P$41</f>
        <v>0</v>
      </c>
      <c r="P33" s="824"/>
      <c r="Q33" s="791"/>
      <c r="R33" s="159"/>
      <c r="S33" s="147">
        <f>S$6*'Sheet 1 Gen &amp; Rec'!$O32</f>
        <v>50500.36314392289</v>
      </c>
      <c r="T33" s="147">
        <f>T$6*'Sheet 1 Gen &amp; Rec'!$O32</f>
        <v>10327.272626569098</v>
      </c>
      <c r="U33" s="147">
        <f>U$6*'Sheet 1 Gen &amp; Rec'!$O32</f>
        <v>215989.61270838068</v>
      </c>
      <c r="V33" s="147">
        <f>V$6*'Sheet 1 Gen &amp; Rec'!$O32</f>
        <v>11618.181704890236</v>
      </c>
      <c r="W33" s="147"/>
      <c r="X33" s="147">
        <f>X$6*'Sheet 1 Gen &amp; Rec'!$O32</f>
        <v>30981.817879707294</v>
      </c>
      <c r="Y33" s="148">
        <f>SUM(M33,O33:X33)</f>
        <v>798610.6834439029</v>
      </c>
      <c r="Z33" s="154"/>
      <c r="AA33" s="150">
        <f>Y33-Z33</f>
        <v>798610.6834439029</v>
      </c>
      <c r="AB33" s="388">
        <f t="shared" si="22"/>
        <v>479193.43538043264</v>
      </c>
      <c r="AC33" s="388">
        <f>SUM(P33:X33)</f>
        <v>319417.24806347024</v>
      </c>
      <c r="AD33" s="150">
        <f>AA33</f>
        <v>798610.6834439029</v>
      </c>
      <c r="AE33" s="150">
        <f>AA33+Z33</f>
        <v>798610.6834439029</v>
      </c>
      <c r="AF33" s="380">
        <f>+VLOOKUP(B33,Parameters!$D$6:$E$28,2,0)</f>
        <v>20104.7683</v>
      </c>
      <c r="AG33" s="738">
        <f t="shared" si="37"/>
        <v>39.722451486491536</v>
      </c>
      <c r="AH33" s="729">
        <f t="shared" si="38"/>
        <v>3.9722451486491535</v>
      </c>
      <c r="AI33" s="229">
        <f t="shared" si="25"/>
        <v>39.722451486491536</v>
      </c>
      <c r="AJ33" s="160">
        <f t="shared" si="10"/>
        <v>3.9722451486491535</v>
      </c>
      <c r="AL33" s="938"/>
    </row>
    <row r="34" spans="1:38" s="99" customFormat="1" ht="15" customHeight="1">
      <c r="A34" s="29"/>
      <c r="B34" s="30" t="s">
        <v>88</v>
      </c>
      <c r="C34" s="588">
        <f>'Sheet 1 Gen &amp; Rec'!H33</f>
        <v>3790.4432682146166</v>
      </c>
      <c r="D34" s="711">
        <f t="shared" si="35"/>
        <v>0.00976597242878374</v>
      </c>
      <c r="E34" s="139">
        <f t="shared" si="14"/>
        <v>307104.13033609086</v>
      </c>
      <c r="F34" s="197">
        <f t="shared" si="15"/>
        <v>74.85011307073574</v>
      </c>
      <c r="G34" s="717">
        <f>'Sheet 2 Gross &amp; Net Costs'!N33</f>
        <v>-0.0003881542292909989</v>
      </c>
      <c r="H34" s="170">
        <f t="shared" si="16"/>
        <v>-13949.750277384723</v>
      </c>
      <c r="I34" s="199">
        <f t="shared" si="17"/>
        <v>-3.3999555278793543</v>
      </c>
      <c r="J34" s="723">
        <f>'Sheet 2 Gross &amp; Net Costs'!S33</f>
        <v>0</v>
      </c>
      <c r="K34" s="171">
        <f t="shared" si="18"/>
        <v>0</v>
      </c>
      <c r="L34" s="201">
        <f t="shared" si="19"/>
        <v>0</v>
      </c>
      <c r="M34" s="172">
        <f t="shared" si="20"/>
        <v>293154.38005870616</v>
      </c>
      <c r="N34" s="405">
        <f t="shared" si="21"/>
        <v>71.4501575428564</v>
      </c>
      <c r="O34" s="933">
        <f>+$O$6*$C$6*C34/($C$13+$C$21+$C$28+$C$32+$C$35+$C$38)+$O$6*$G$6*'Sheet 2 Gross &amp; Net Costs'!K33/'Sheet 2 Gross &amp; Net Costs'!$K$41+$O$6*'Sheet 3 Disaggregated Fees'!$J$6*'Sheet 2 Gross &amp; Net Costs'!P33/'Sheet 2 Gross &amp; Net Costs'!$P$41</f>
        <v>0</v>
      </c>
      <c r="P34" s="826"/>
      <c r="Q34" s="793"/>
      <c r="R34" s="173"/>
      <c r="S34" s="475">
        <f>S$6*'Sheet 1 Gen &amp; Rec'!$O33</f>
        <v>9054.191410631669</v>
      </c>
      <c r="T34" s="475">
        <f>T$6*'Sheet 1 Gen &amp; Rec'!$O33</f>
        <v>1851.5728856097483</v>
      </c>
      <c r="U34" s="475">
        <f>U$6*'Sheet 1 Gen &amp; Rec'!$O33</f>
        <v>38724.69769368808</v>
      </c>
      <c r="V34" s="475">
        <f>V$6*'Sheet 1 Gen &amp; Rec'!$O33</f>
        <v>2083.019496310967</v>
      </c>
      <c r="W34" s="475"/>
      <c r="X34" s="475">
        <f>X$6*'Sheet 1 Gen &amp; Rec'!$O33</f>
        <v>5554.7186568292445</v>
      </c>
      <c r="Y34" s="476">
        <f>SUM(M34,O34:X34)</f>
        <v>350422.5802017759</v>
      </c>
      <c r="Z34" s="174"/>
      <c r="AA34" s="231">
        <f>Y34-Z34</f>
        <v>350422.5802017759</v>
      </c>
      <c r="AB34" s="784">
        <f t="shared" si="22"/>
        <v>293154.38005870616</v>
      </c>
      <c r="AC34" s="784">
        <f>SUM(P34:X34)</f>
        <v>57268.20014306971</v>
      </c>
      <c r="AD34" s="150">
        <f>AA34</f>
        <v>350422.5802017759</v>
      </c>
      <c r="AE34" s="150">
        <f>AA34+Z34</f>
        <v>350422.5802017759</v>
      </c>
      <c r="AF34" s="380">
        <f>+VLOOKUP(B34,Parameters!$D$6:$E$28,2,0)</f>
        <v>4102.921395</v>
      </c>
      <c r="AG34" s="738">
        <f t="shared" si="37"/>
        <v>85.40806573306917</v>
      </c>
      <c r="AH34" s="731">
        <f t="shared" si="38"/>
        <v>8.540806573306917</v>
      </c>
      <c r="AI34" s="175">
        <f t="shared" si="25"/>
        <v>85.40806573306917</v>
      </c>
      <c r="AJ34" s="176">
        <f t="shared" si="10"/>
        <v>8.540806573306917</v>
      </c>
      <c r="AL34" s="938"/>
    </row>
    <row r="35" spans="1:36" s="55" customFormat="1" ht="15" customHeight="1" thickBot="1">
      <c r="A35" s="232" t="s">
        <v>45</v>
      </c>
      <c r="B35" s="233"/>
      <c r="C35" s="589">
        <f>'Sheet 1 Gen &amp; Rec'!H34</f>
        <v>16147.308761187629</v>
      </c>
      <c r="D35" s="713">
        <f t="shared" si="35"/>
        <v>0.041603095206090235</v>
      </c>
      <c r="E35" s="179">
        <f t="shared" si="14"/>
        <v>1308265.2511796127</v>
      </c>
      <c r="F35" s="124">
        <f t="shared" si="15"/>
        <v>54.043374963197316</v>
      </c>
      <c r="G35" s="721">
        <f>'Sheet 2 Gross &amp; Net Costs'!N34</f>
        <v>-0.014911995920865407</v>
      </c>
      <c r="H35" s="125">
        <f t="shared" si="16"/>
        <v>-535917.4357404739</v>
      </c>
      <c r="I35" s="126">
        <f t="shared" si="17"/>
        <v>-22.13831400239592</v>
      </c>
      <c r="J35" s="727">
        <f>'Sheet 2 Gross &amp; Net Costs'!S34</f>
        <v>0</v>
      </c>
      <c r="K35" s="127">
        <f t="shared" si="18"/>
        <v>0</v>
      </c>
      <c r="L35" s="128">
        <f t="shared" si="19"/>
        <v>0</v>
      </c>
      <c r="M35" s="129">
        <f t="shared" si="20"/>
        <v>772347.8154391388</v>
      </c>
      <c r="N35" s="407">
        <f t="shared" si="21"/>
        <v>31.905060960801396</v>
      </c>
      <c r="O35" s="937"/>
      <c r="P35" s="830"/>
      <c r="Q35" s="797"/>
      <c r="R35" s="234"/>
      <c r="S35" s="111">
        <f aca="true" t="shared" si="41" ref="S35:X35">SUM(S33:S34)</f>
        <v>59554.55455455456</v>
      </c>
      <c r="T35" s="111">
        <f t="shared" si="41"/>
        <v>12178.845512178847</v>
      </c>
      <c r="U35" s="111">
        <f t="shared" si="41"/>
        <v>254714.31040206878</v>
      </c>
      <c r="V35" s="111">
        <f t="shared" si="41"/>
        <v>13701.201201201202</v>
      </c>
      <c r="W35" s="111">
        <f t="shared" si="41"/>
        <v>0</v>
      </c>
      <c r="X35" s="111">
        <f t="shared" si="41"/>
        <v>36536.536536536536</v>
      </c>
      <c r="Y35" s="235">
        <f aca="true" t="shared" si="42" ref="Y35:AF35">SUM(Y33:Y34)</f>
        <v>1149033.2636456788</v>
      </c>
      <c r="Z35" s="236">
        <f t="shared" si="42"/>
        <v>0</v>
      </c>
      <c r="AA35" s="135">
        <f>SUM(AA33:AA34)</f>
        <v>1149033.2636456788</v>
      </c>
      <c r="AB35" s="135">
        <f t="shared" si="22"/>
        <v>772347.8154391388</v>
      </c>
      <c r="AC35" s="135">
        <f>SUM(AC33:AC34)</f>
        <v>376685.44820653996</v>
      </c>
      <c r="AD35" s="135">
        <f t="shared" si="42"/>
        <v>1149033.2636456788</v>
      </c>
      <c r="AE35" s="135">
        <f t="shared" si="42"/>
        <v>1149033.2636456788</v>
      </c>
      <c r="AF35" s="381">
        <f t="shared" si="42"/>
        <v>24207.689695</v>
      </c>
      <c r="AG35" s="739">
        <f t="shared" si="37"/>
        <v>47.465630885173105</v>
      </c>
      <c r="AH35" s="732">
        <f t="shared" si="38"/>
        <v>4.74656308851731</v>
      </c>
      <c r="AI35" s="191">
        <f t="shared" si="25"/>
        <v>47.465630885173105</v>
      </c>
      <c r="AJ35" s="192">
        <f t="shared" si="10"/>
        <v>4.74656308851731</v>
      </c>
    </row>
    <row r="36" spans="1:38" s="99" customFormat="1" ht="15" customHeight="1">
      <c r="A36" s="22" t="s">
        <v>46</v>
      </c>
      <c r="B36" s="155" t="s">
        <v>118</v>
      </c>
      <c r="C36" s="588">
        <f>'Sheet 1 Gen &amp; Rec'!H35</f>
        <v>7553.041053511552</v>
      </c>
      <c r="D36" s="711">
        <f t="shared" si="35"/>
        <v>0.019460201739626464</v>
      </c>
      <c r="E36" s="139">
        <f t="shared" si="14"/>
        <v>611952.2018922145</v>
      </c>
      <c r="F36" s="479">
        <f t="shared" si="15"/>
        <v>7.783842304125117</v>
      </c>
      <c r="G36" s="716">
        <f>'Sheet 2 Gross &amp; Net Costs'!N35</f>
        <v>0.049593574063571545</v>
      </c>
      <c r="H36" s="141">
        <f t="shared" si="16"/>
        <v>1782327.542362424</v>
      </c>
      <c r="I36" s="480">
        <f t="shared" si="17"/>
        <v>22.670653820919753</v>
      </c>
      <c r="J36" s="722">
        <f>'Sheet 2 Gross &amp; Net Costs'!S35</f>
        <v>0</v>
      </c>
      <c r="K36" s="143">
        <f t="shared" si="18"/>
        <v>0</v>
      </c>
      <c r="L36" s="481">
        <f t="shared" si="19"/>
        <v>0</v>
      </c>
      <c r="M36" s="145">
        <f t="shared" si="20"/>
        <v>2394279.7442546384</v>
      </c>
      <c r="N36" s="482">
        <f t="shared" si="21"/>
        <v>30.45449612504487</v>
      </c>
      <c r="O36" s="933">
        <f>+$O$6*$C$6*C36/($C$13+$C$21+$C$28+$C$32+$C$35+$C$38)+$O$6*$G$6*'Sheet 2 Gross &amp; Net Costs'!K35/'Sheet 2 Gross &amp; Net Costs'!$K$41+$O$6*'Sheet 3 Disaggregated Fees'!$J$6*'Sheet 2 Gross &amp; Net Costs'!P35/'Sheet 2 Gross &amp; Net Costs'!$P$41</f>
        <v>0</v>
      </c>
      <c r="P36" s="824"/>
      <c r="Q36" s="791"/>
      <c r="R36" s="159"/>
      <c r="S36" s="147">
        <f>S$6*('Sheet 1 Gen &amp; Rec'!$O35)</f>
        <v>39582.68825909975</v>
      </c>
      <c r="T36" s="147">
        <f>T$6*('Sheet 1 Gen &amp; Rec'!$O35)</f>
        <v>8094.6192758895195</v>
      </c>
      <c r="U36" s="147">
        <f>U$6*('Sheet 1 Gen &amp; Rec'!$O35)</f>
        <v>169294.81244865753</v>
      </c>
      <c r="V36" s="147">
        <f>V$6*('Sheet 1 Gen &amp; Rec'!$O35)</f>
        <v>9106.44668537571</v>
      </c>
      <c r="W36" s="147"/>
      <c r="X36" s="147">
        <f>X$6*('Sheet 1 Gen &amp; Rec'!$O35)</f>
        <v>24283.85782766856</v>
      </c>
      <c r="Y36" s="148">
        <f>SUM(M36,O36:X36)</f>
        <v>2644642.168751329</v>
      </c>
      <c r="Z36" s="154"/>
      <c r="AA36" s="150">
        <f>Y36-Z36</f>
        <v>2644642.168751329</v>
      </c>
      <c r="AB36" s="388">
        <f t="shared" si="22"/>
        <v>2394279.7442546384</v>
      </c>
      <c r="AC36" s="388">
        <f>SUM(P36:X36)</f>
        <v>250362.42449669103</v>
      </c>
      <c r="AD36" s="150">
        <f>AA36</f>
        <v>2644642.168751329</v>
      </c>
      <c r="AE36" s="150">
        <f>AA36+Z36</f>
        <v>2644642.168751329</v>
      </c>
      <c r="AF36" s="380">
        <f>+VLOOKUP(B36,Parameters!$D$6:$E$28,2,0)</f>
        <v>78618.2682</v>
      </c>
      <c r="AG36" s="738">
        <f t="shared" si="37"/>
        <v>33.639028552797974</v>
      </c>
      <c r="AH36" s="729">
        <f t="shared" si="38"/>
        <v>3.3639028552797976</v>
      </c>
      <c r="AI36" s="229">
        <f t="shared" si="25"/>
        <v>33.639028552797974</v>
      </c>
      <c r="AJ36" s="160">
        <f t="shared" si="10"/>
        <v>3.3639028552797976</v>
      </c>
      <c r="AL36" s="938"/>
    </row>
    <row r="37" spans="1:38" s="99" customFormat="1" ht="15" customHeight="1">
      <c r="A37" s="27"/>
      <c r="B37" s="161" t="s">
        <v>53</v>
      </c>
      <c r="C37" s="588">
        <f>'Sheet 1 Gen &amp; Rec'!H36</f>
        <v>2003.0587115707422</v>
      </c>
      <c r="D37" s="711">
        <f t="shared" si="35"/>
        <v>0.005160825467162051</v>
      </c>
      <c r="E37" s="139">
        <f t="shared" si="14"/>
        <v>162289.0939398789</v>
      </c>
      <c r="F37" s="470">
        <f t="shared" si="15"/>
        <v>7.743482308328641</v>
      </c>
      <c r="G37" s="717">
        <f>'Sheet 2 Gross &amp; Net Costs'!N36</f>
        <v>0.01457778651503452</v>
      </c>
      <c r="H37" s="170">
        <f t="shared" si="16"/>
        <v>523906.3911610812</v>
      </c>
      <c r="I37" s="471">
        <f t="shared" si="17"/>
        <v>24.997735662256076</v>
      </c>
      <c r="J37" s="723">
        <f>'Sheet 2 Gross &amp; Net Costs'!S36</f>
        <v>0</v>
      </c>
      <c r="K37" s="171">
        <f t="shared" si="18"/>
        <v>0</v>
      </c>
      <c r="L37" s="472">
        <f t="shared" si="19"/>
        <v>0</v>
      </c>
      <c r="M37" s="172">
        <f t="shared" si="20"/>
        <v>686195.4851009601</v>
      </c>
      <c r="N37" s="473">
        <f t="shared" si="21"/>
        <v>32.74121797058472</v>
      </c>
      <c r="O37" s="933">
        <f>+$O$6*$C$6*C37/($C$13+$C$21+$C$28+$C$32+$C$35+$C$38)+$O$6*$G$6*'Sheet 2 Gross &amp; Net Costs'!K36/'Sheet 2 Gross &amp; Net Costs'!$K$41+$O$6*'Sheet 3 Disaggregated Fees'!$J$6*'Sheet 2 Gross &amp; Net Costs'!P36/'Sheet 2 Gross &amp; Net Costs'!$P$41</f>
        <v>0</v>
      </c>
      <c r="P37" s="824"/>
      <c r="Q37" s="798"/>
      <c r="R37" s="474"/>
      <c r="S37" s="475">
        <f>S$6*('Sheet 1 Gen &amp; Rec'!$O36)</f>
        <v>12140.03446362298</v>
      </c>
      <c r="T37" s="475">
        <f>T$6*('Sheet 1 Gen &amp; Rec'!$O36)</f>
        <v>2482.624634687726</v>
      </c>
      <c r="U37" s="475">
        <f>U$6*('Sheet 1 Gen &amp; Rec'!$O36)</f>
        <v>51922.821516974815</v>
      </c>
      <c r="V37" s="475">
        <f>V$6*('Sheet 1 Gen &amp; Rec'!$O36)</f>
        <v>2792.952714023692</v>
      </c>
      <c r="W37" s="475"/>
      <c r="X37" s="475">
        <f>X$6*('Sheet 1 Gen &amp; Rec'!$O36)</f>
        <v>7447.873904063178</v>
      </c>
      <c r="Y37" s="476">
        <f>SUM(M37,O37:X37)</f>
        <v>762981.7923343324</v>
      </c>
      <c r="Z37" s="174"/>
      <c r="AA37" s="231">
        <f>Y37-Z37</f>
        <v>762981.7923343324</v>
      </c>
      <c r="AB37" s="784">
        <f t="shared" si="22"/>
        <v>686195.4851009601</v>
      </c>
      <c r="AC37" s="784">
        <f>SUM(P37:X37)</f>
        <v>76786.30723337238</v>
      </c>
      <c r="AD37" s="150">
        <f>AA37</f>
        <v>762981.7923343324</v>
      </c>
      <c r="AE37" s="150">
        <f>AA37+Z37</f>
        <v>762981.7923343324</v>
      </c>
      <c r="AF37" s="380">
        <f>+VLOOKUP(B37,Parameters!$D$6:$E$28,2,0)</f>
        <v>20958.153899999998</v>
      </c>
      <c r="AG37" s="738">
        <f t="shared" si="37"/>
        <v>36.405009523970165</v>
      </c>
      <c r="AH37" s="731">
        <f t="shared" si="38"/>
        <v>3.6405009523970167</v>
      </c>
      <c r="AI37" s="230">
        <f t="shared" si="25"/>
        <v>36.405009523970165</v>
      </c>
      <c r="AJ37" s="168">
        <f t="shared" si="10"/>
        <v>3.6405009523970167</v>
      </c>
      <c r="AL37" s="938"/>
    </row>
    <row r="38" spans="1:36" s="55" customFormat="1" ht="15" customHeight="1" thickBot="1">
      <c r="A38" s="177" t="s">
        <v>46</v>
      </c>
      <c r="B38" s="178"/>
      <c r="C38" s="589">
        <f>'Sheet 1 Gen &amp; Rec'!H37</f>
        <v>9556.099765082294</v>
      </c>
      <c r="D38" s="713">
        <f t="shared" si="35"/>
        <v>0.024621027206788517</v>
      </c>
      <c r="E38" s="179">
        <f t="shared" si="14"/>
        <v>774241.2958320935</v>
      </c>
      <c r="F38" s="180">
        <f t="shared" si="15"/>
        <v>7.775347612455474</v>
      </c>
      <c r="G38" s="718">
        <f>'Sheet 2 Gross &amp; Net Costs'!N37</f>
        <v>0.06417136057860606</v>
      </c>
      <c r="H38" s="181">
        <f t="shared" si="16"/>
        <v>2306233.9335235055</v>
      </c>
      <c r="I38" s="182">
        <f t="shared" si="17"/>
        <v>23.16044184844743</v>
      </c>
      <c r="J38" s="724">
        <f>'Sheet 2 Gross &amp; Net Costs'!S37</f>
        <v>0</v>
      </c>
      <c r="K38" s="183">
        <f t="shared" si="18"/>
        <v>0</v>
      </c>
      <c r="L38" s="184">
        <f t="shared" si="19"/>
        <v>0</v>
      </c>
      <c r="M38" s="185">
        <f t="shared" si="20"/>
        <v>3080475.229355599</v>
      </c>
      <c r="N38" s="404">
        <f t="shared" si="21"/>
        <v>30.935789460902903</v>
      </c>
      <c r="O38" s="926"/>
      <c r="P38" s="827"/>
      <c r="Q38" s="794"/>
      <c r="R38" s="186"/>
      <c r="S38" s="187">
        <f aca="true" t="shared" si="43" ref="S38:X38">SUM(S36:S37)</f>
        <v>51722.72272272273</v>
      </c>
      <c r="T38" s="187">
        <f t="shared" si="43"/>
        <v>10577.243910577246</v>
      </c>
      <c r="U38" s="187">
        <f t="shared" si="43"/>
        <v>221217.63396563235</v>
      </c>
      <c r="V38" s="187">
        <f t="shared" si="43"/>
        <v>11899.3993993994</v>
      </c>
      <c r="W38" s="187">
        <f t="shared" si="43"/>
        <v>0</v>
      </c>
      <c r="X38" s="187">
        <f t="shared" si="43"/>
        <v>31731.731731731736</v>
      </c>
      <c r="Y38" s="188">
        <f aca="true" t="shared" si="44" ref="Y38:AF38">SUM(Y36:Y37)</f>
        <v>3407623.9610856613</v>
      </c>
      <c r="Z38" s="189">
        <f t="shared" si="44"/>
        <v>0</v>
      </c>
      <c r="AA38" s="190">
        <f>SUM(AA36:AA37)</f>
        <v>3407623.9610856613</v>
      </c>
      <c r="AB38" s="190">
        <f t="shared" si="22"/>
        <v>3080475.229355599</v>
      </c>
      <c r="AC38" s="190">
        <f>SUM(AC36:AC37)</f>
        <v>327148.73173006345</v>
      </c>
      <c r="AD38" s="190">
        <f t="shared" si="44"/>
        <v>3407623.9610856613</v>
      </c>
      <c r="AE38" s="190">
        <f t="shared" si="44"/>
        <v>3407623.9610856613</v>
      </c>
      <c r="AF38" s="377">
        <f t="shared" si="44"/>
        <v>99576.4221</v>
      </c>
      <c r="AG38" s="739">
        <f t="shared" si="37"/>
        <v>34.22119302161251</v>
      </c>
      <c r="AH38" s="732">
        <f t="shared" si="38"/>
        <v>3.4221193021612506</v>
      </c>
      <c r="AI38" s="239">
        <f t="shared" si="25"/>
        <v>34.22119302161251</v>
      </c>
      <c r="AJ38" s="192">
        <f>AI38*100/1000</f>
        <v>3.4221193021612506</v>
      </c>
    </row>
    <row r="39" spans="1:36" s="99" customFormat="1" ht="17.25" customHeight="1">
      <c r="A39" s="22"/>
      <c r="B39" s="240"/>
      <c r="C39" s="590">
        <f>C38+C35+C32+C28+C21</f>
        <v>388127.5823637238</v>
      </c>
      <c r="D39" s="477"/>
      <c r="E39" s="241"/>
      <c r="F39" s="478"/>
      <c r="G39" s="242">
        <f>G13+G21+G28+G32+G35+G38</f>
        <v>1.9999999999999998</v>
      </c>
      <c r="H39" s="243"/>
      <c r="I39" s="244"/>
      <c r="J39" s="245">
        <f>J13+J21+J28+J32+J35+J38</f>
        <v>2</v>
      </c>
      <c r="K39" s="246"/>
      <c r="L39" s="247"/>
      <c r="M39" s="248"/>
      <c r="N39" s="408"/>
      <c r="O39" s="927"/>
      <c r="P39" s="249"/>
      <c r="Q39" s="799"/>
      <c r="R39" s="803"/>
      <c r="S39" s="250"/>
      <c r="T39" s="250"/>
      <c r="U39" s="250"/>
      <c r="V39" s="250"/>
      <c r="W39" s="250"/>
      <c r="X39" s="250"/>
      <c r="Y39" s="251"/>
      <c r="Z39" s="252"/>
      <c r="AA39" s="253"/>
      <c r="AB39" s="388"/>
      <c r="AC39" s="388"/>
      <c r="AD39" s="253"/>
      <c r="AE39" s="253"/>
      <c r="AF39" s="384"/>
      <c r="AG39" s="742"/>
      <c r="AH39" s="734"/>
      <c r="AI39" s="254"/>
      <c r="AJ39" s="255"/>
    </row>
    <row r="40" spans="1:36" s="100" customFormat="1" ht="17.25" customHeight="1">
      <c r="A40" s="256"/>
      <c r="B40" s="257" t="s">
        <v>38</v>
      </c>
      <c r="C40" s="258"/>
      <c r="D40" s="259">
        <f>SUM(D8:D38)</f>
        <v>4</v>
      </c>
      <c r="E40" s="260">
        <f>Parameters!B$12*C6</f>
        <v>8284822.991003279</v>
      </c>
      <c r="F40" s="261"/>
      <c r="G40" s="262"/>
      <c r="H40" s="263">
        <f>Parameters!B$12*G6</f>
        <v>9468369.132575177</v>
      </c>
      <c r="I40" s="264"/>
      <c r="J40" s="265"/>
      <c r="K40" s="266">
        <f>Parameters!B$12*J6</f>
        <v>5917730.707859485</v>
      </c>
      <c r="L40" s="267"/>
      <c r="M40" s="268">
        <f>M$13</f>
        <v>23670922.83143794</v>
      </c>
      <c r="N40" s="409"/>
      <c r="O40" s="928">
        <f>+SUM(O8:O37)</f>
        <v>0</v>
      </c>
      <c r="P40" s="269">
        <f>P38+P35+P32+P28+P21+P13</f>
        <v>0</v>
      </c>
      <c r="Q40" s="800">
        <f>Q38+Q35+Q32+Q28+Q21+Q13</f>
        <v>0</v>
      </c>
      <c r="R40" s="802">
        <f>R38+R35+R32+R28+R21+R13</f>
        <v>0</v>
      </c>
      <c r="S40" s="270">
        <f aca="true" t="shared" si="45" ref="S40:X40">SUM(S36:S37)+S35+S32+S28+S21+S13</f>
        <v>978000</v>
      </c>
      <c r="T40" s="270">
        <f t="shared" si="45"/>
        <v>200000</v>
      </c>
      <c r="U40" s="270">
        <f t="shared" si="45"/>
        <v>4182897.47</v>
      </c>
      <c r="V40" s="270">
        <f t="shared" si="45"/>
        <v>225000</v>
      </c>
      <c r="W40" s="270">
        <f t="shared" si="45"/>
        <v>50000</v>
      </c>
      <c r="X40" s="270">
        <f t="shared" si="45"/>
        <v>600000</v>
      </c>
      <c r="Y40" s="271">
        <f>Y38+Y35+Y32+Y28+Y21+Y13</f>
        <v>119753517.98437497</v>
      </c>
      <c r="Z40" s="272">
        <f>Z38+Z35+Z32+Z28+Z21+Z13</f>
        <v>4729544.788050666</v>
      </c>
      <c r="AA40" s="273">
        <f>AA13+AA21+AA28+AA32+AA35+AA38</f>
        <v>115023973.1963243</v>
      </c>
      <c r="AB40" s="273">
        <f>AB13+AB21+AB28+AB32+AB35+AB38</f>
        <v>113517620.51437497</v>
      </c>
      <c r="AC40" s="273">
        <f>AC13+AC21+AC28+AC32+AC35+AC38</f>
        <v>6235897.470000001</v>
      </c>
      <c r="AD40" s="273">
        <f>AD13+AD21+AD28+AD32+AD35+AD38</f>
        <v>115023973.1963243</v>
      </c>
      <c r="AE40" s="273">
        <f>AE13+AE21+AE28+AE32+AE35+AE38</f>
        <v>119753517.98437499</v>
      </c>
      <c r="AF40" s="382">
        <f>AF13</f>
        <v>361728.401655</v>
      </c>
      <c r="AG40" s="743"/>
      <c r="AH40" s="735"/>
      <c r="AI40" s="274"/>
      <c r="AJ40" s="137"/>
    </row>
    <row r="41" spans="1:36" s="3" customFormat="1" ht="18" customHeight="1" thickBot="1">
      <c r="A41" s="275"/>
      <c r="B41" s="276" t="s">
        <v>39</v>
      </c>
      <c r="C41" s="277"/>
      <c r="D41" s="278"/>
      <c r="E41" s="279">
        <f>Parameters!B$13*C6</f>
        <v>31446344.18902796</v>
      </c>
      <c r="F41" s="280"/>
      <c r="G41" s="281"/>
      <c r="H41" s="282">
        <f>Parameters!B$13*G6</f>
        <v>35938679.07317482</v>
      </c>
      <c r="I41" s="283"/>
      <c r="J41" s="284"/>
      <c r="K41" s="285">
        <f>Parameters!B$13*J6</f>
        <v>22461674.42073426</v>
      </c>
      <c r="L41" s="286"/>
      <c r="M41" s="287">
        <f>M$21+M$28+M$32+M$35+M$38</f>
        <v>89846697.68293703</v>
      </c>
      <c r="N41" s="410"/>
      <c r="O41" s="929"/>
      <c r="P41" s="288"/>
      <c r="Q41" s="801"/>
      <c r="R41" s="804"/>
      <c r="S41" s="289"/>
      <c r="T41" s="289"/>
      <c r="U41" s="289"/>
      <c r="V41" s="289"/>
      <c r="W41" s="289"/>
      <c r="X41" s="289"/>
      <c r="Y41" s="290"/>
      <c r="Z41" s="291"/>
      <c r="AA41" s="292"/>
      <c r="AB41" s="389"/>
      <c r="AC41" s="389"/>
      <c r="AD41" s="292"/>
      <c r="AE41" s="292"/>
      <c r="AF41" s="392">
        <f>AF21+AF28+AF32+AF35+AF38</f>
        <v>723458.77034</v>
      </c>
      <c r="AG41" s="744"/>
      <c r="AH41" s="736"/>
      <c r="AI41" s="275"/>
      <c r="AJ41" s="293"/>
    </row>
    <row r="42" spans="3:36" ht="18" customHeight="1">
      <c r="C42" s="294"/>
      <c r="D42" s="294"/>
      <c r="H42" s="6">
        <f>H38+H35+H32+H28+H21+H13</f>
        <v>45407048.20574999</v>
      </c>
      <c r="I42" s="6"/>
      <c r="J42" s="2"/>
      <c r="K42" s="294">
        <f>K38+K35+K32+K28+K21+K13</f>
        <v>28379405.12859375</v>
      </c>
      <c r="L42" s="6"/>
      <c r="M42" s="294">
        <f>M38+M35+M32+M28+M21+M13+M7</f>
        <v>113517620.51437497</v>
      </c>
      <c r="N42" s="295"/>
      <c r="O42" s="295"/>
      <c r="P42" s="296"/>
      <c r="Q42" s="296"/>
      <c r="R42" s="296"/>
      <c r="S42" s="296"/>
      <c r="T42" s="296"/>
      <c r="U42" s="296"/>
      <c r="V42" s="296"/>
      <c r="W42" s="296"/>
      <c r="X42" s="294"/>
      <c r="Y42" s="296"/>
      <c r="Z42" s="296"/>
      <c r="AA42" s="818"/>
      <c r="AB42" s="390"/>
      <c r="AC42" s="819"/>
      <c r="AD42" s="842"/>
      <c r="AE42" s="296"/>
      <c r="AF42" s="5"/>
      <c r="AG42" s="5"/>
      <c r="AH42" s="5"/>
      <c r="AI42" s="5"/>
      <c r="AJ42" s="5"/>
    </row>
    <row r="43" spans="3:37" ht="18" customHeight="1">
      <c r="C43" s="294"/>
      <c r="D43" s="591"/>
      <c r="I43" s="6"/>
      <c r="J43" s="294"/>
      <c r="L43" s="294"/>
      <c r="M43" s="294"/>
      <c r="N43" s="294"/>
      <c r="O43" s="930"/>
      <c r="R43" s="296"/>
      <c r="S43" s="296"/>
      <c r="T43" s="296"/>
      <c r="U43" s="296"/>
      <c r="V43" s="296"/>
      <c r="W43" s="296"/>
      <c r="X43" s="296"/>
      <c r="Y43" s="297"/>
      <c r="Z43" s="841"/>
      <c r="AA43" s="297"/>
      <c r="AB43" s="296"/>
      <c r="AC43" s="296"/>
      <c r="AE43" s="296"/>
      <c r="AF43" s="296"/>
      <c r="AG43" s="296"/>
      <c r="AH43" s="296"/>
      <c r="AI43" s="5"/>
      <c r="AJ43" s="5"/>
      <c r="AK43" s="5"/>
    </row>
    <row r="44" spans="3:37" ht="18" customHeight="1">
      <c r="C44" s="294"/>
      <c r="D44" s="593"/>
      <c r="E44" s="367"/>
      <c r="F44" s="367"/>
      <c r="G44" s="367"/>
      <c r="H44" s="367"/>
      <c r="I44" s="593"/>
      <c r="J44" s="593"/>
      <c r="K44" s="367"/>
      <c r="L44" s="367"/>
      <c r="M44" s="593"/>
      <c r="N44" s="593"/>
      <c r="O44" s="931"/>
      <c r="P44" s="593"/>
      <c r="Q44" s="593"/>
      <c r="R44" s="593"/>
      <c r="X44" s="296"/>
      <c r="Y44" s="296"/>
      <c r="Z44" s="843"/>
      <c r="AA44" s="297"/>
      <c r="AB44" s="297"/>
      <c r="AC44" s="297"/>
      <c r="AD44" s="390"/>
      <c r="AE44" s="296"/>
      <c r="AF44" s="865"/>
      <c r="AG44" s="296"/>
      <c r="AH44" s="296"/>
      <c r="AI44" s="296"/>
      <c r="AJ44" s="5"/>
      <c r="AK44" s="5"/>
    </row>
    <row r="45" spans="3:35" ht="15" customHeight="1">
      <c r="C45" s="294"/>
      <c r="D45" s="593"/>
      <c r="E45" s="594"/>
      <c r="F45" s="593"/>
      <c r="G45" s="593"/>
      <c r="H45" s="593"/>
      <c r="I45" s="367"/>
      <c r="J45" s="367"/>
      <c r="K45" s="367"/>
      <c r="L45" s="367"/>
      <c r="M45" s="593"/>
      <c r="N45" s="367"/>
      <c r="O45" s="415"/>
      <c r="P45" s="595"/>
      <c r="Q45" s="595"/>
      <c r="R45" s="593"/>
      <c r="Z45" s="843"/>
      <c r="AA45" s="297"/>
      <c r="AB45" s="297"/>
      <c r="AC45" s="297"/>
      <c r="AD45" s="397"/>
      <c r="AE45" s="296"/>
      <c r="AF45" s="296"/>
      <c r="AG45" s="296"/>
      <c r="AH45" s="296"/>
      <c r="AI45" s="298"/>
    </row>
    <row r="46" spans="3:36" ht="15" customHeight="1">
      <c r="C46" s="294"/>
      <c r="D46" s="593"/>
      <c r="E46" s="367"/>
      <c r="F46" s="593"/>
      <c r="G46" s="367"/>
      <c r="H46" s="593"/>
      <c r="I46" s="593"/>
      <c r="J46" s="593"/>
      <c r="K46" s="367"/>
      <c r="L46" s="367"/>
      <c r="M46" s="593"/>
      <c r="N46" s="593"/>
      <c r="O46" s="931"/>
      <c r="P46" s="593"/>
      <c r="Q46" s="593"/>
      <c r="R46" s="593"/>
      <c r="Z46" s="844"/>
      <c r="AA46" s="297"/>
      <c r="AB46" s="297"/>
      <c r="AC46" s="297"/>
      <c r="AD46" s="397"/>
      <c r="AE46" s="296"/>
      <c r="AF46" s="296"/>
      <c r="AG46" s="296"/>
      <c r="AH46" s="296"/>
      <c r="AI46" s="298"/>
      <c r="AJ46" s="299"/>
    </row>
    <row r="47" spans="3:36" ht="15" customHeight="1">
      <c r="C47" s="294"/>
      <c r="D47" s="593"/>
      <c r="E47" s="367"/>
      <c r="F47" s="593"/>
      <c r="G47" s="367"/>
      <c r="H47" s="367"/>
      <c r="I47" s="367"/>
      <c r="J47" s="367"/>
      <c r="K47" s="367"/>
      <c r="L47" s="367"/>
      <c r="M47" s="593"/>
      <c r="N47" s="367"/>
      <c r="O47" s="415"/>
      <c r="P47" s="593"/>
      <c r="Q47" s="593"/>
      <c r="R47" s="593"/>
      <c r="Y47" s="296"/>
      <c r="Z47" s="844"/>
      <c r="AA47" s="297"/>
      <c r="AB47" s="297"/>
      <c r="AC47" s="297"/>
      <c r="AD47" s="398"/>
      <c r="AE47" s="365"/>
      <c r="AF47"/>
      <c r="AG47" s="296"/>
      <c r="AH47" s="296"/>
      <c r="AI47" s="298"/>
      <c r="AJ47" s="299"/>
    </row>
    <row r="48" spans="3:35" ht="15" customHeight="1">
      <c r="C48" s="294"/>
      <c r="D48" s="593"/>
      <c r="E48" s="367"/>
      <c r="F48" s="593"/>
      <c r="G48" s="367"/>
      <c r="H48" s="367"/>
      <c r="I48" s="367"/>
      <c r="J48" s="367"/>
      <c r="K48" s="367"/>
      <c r="L48" s="367"/>
      <c r="M48" s="367"/>
      <c r="N48" s="367"/>
      <c r="O48" s="415"/>
      <c r="P48" s="593"/>
      <c r="Q48" s="593"/>
      <c r="R48" s="593"/>
      <c r="Y48" s="296"/>
      <c r="Z48" s="781"/>
      <c r="AA48" s="297"/>
      <c r="AB48" s="297"/>
      <c r="AC48" s="297"/>
      <c r="AD48" s="399"/>
      <c r="AE48" s="296"/>
      <c r="AF48" s="296"/>
      <c r="AG48" s="296"/>
      <c r="AH48" s="296"/>
      <c r="AI48" s="298"/>
    </row>
    <row r="49" spans="3:35" ht="15" customHeight="1">
      <c r="C49" s="294"/>
      <c r="D49" s="593"/>
      <c r="E49" s="367"/>
      <c r="F49" s="367"/>
      <c r="G49" s="367"/>
      <c r="H49" s="367"/>
      <c r="I49" s="367"/>
      <c r="J49" s="367"/>
      <c r="K49" s="367"/>
      <c r="L49" s="367"/>
      <c r="M49" s="367"/>
      <c r="N49" s="367"/>
      <c r="O49" s="415"/>
      <c r="P49" s="593"/>
      <c r="Q49" s="593"/>
      <c r="R49" s="593"/>
      <c r="X49" s="6"/>
      <c r="Y49" s="296"/>
      <c r="AA49" s="297"/>
      <c r="AB49" s="297"/>
      <c r="AC49" s="297"/>
      <c r="AD49" s="399"/>
      <c r="AE49" s="296"/>
      <c r="AF49" s="296"/>
      <c r="AG49" s="296"/>
      <c r="AH49" s="296"/>
      <c r="AI49" s="298"/>
    </row>
    <row r="50" spans="3:35" ht="15" customHeight="1">
      <c r="C50" s="294"/>
      <c r="D50" s="593"/>
      <c r="E50" s="367"/>
      <c r="F50" s="593"/>
      <c r="G50" s="301"/>
      <c r="H50" s="593"/>
      <c r="I50" s="596"/>
      <c r="J50" s="367"/>
      <c r="K50" s="367"/>
      <c r="L50" s="367"/>
      <c r="M50" s="301"/>
      <c r="N50" s="597"/>
      <c r="O50" s="932"/>
      <c r="P50" s="593"/>
      <c r="Q50" s="593"/>
      <c r="R50" s="593"/>
      <c r="S50" s="300"/>
      <c r="T50" s="300"/>
      <c r="U50" s="300"/>
      <c r="V50" s="300"/>
      <c r="W50" s="300"/>
      <c r="X50" s="6"/>
      <c r="AA50" s="297"/>
      <c r="AD50" s="433"/>
      <c r="AE50" s="394"/>
      <c r="AF50" s="394"/>
      <c r="AG50" s="394"/>
      <c r="AH50" s="394"/>
      <c r="AI50" s="298"/>
    </row>
    <row r="51" spans="3:34" ht="15" customHeight="1">
      <c r="C51" s="294"/>
      <c r="D51" s="593"/>
      <c r="E51" s="367"/>
      <c r="F51" s="593"/>
      <c r="G51" s="301"/>
      <c r="H51" s="593"/>
      <c r="I51" s="596"/>
      <c r="J51" s="367"/>
      <c r="K51" s="367"/>
      <c r="L51" s="367"/>
      <c r="M51" s="301"/>
      <c r="N51" s="597"/>
      <c r="O51" s="932"/>
      <c r="P51" s="593"/>
      <c r="Q51" s="593"/>
      <c r="R51" s="593"/>
      <c r="S51" s="294"/>
      <c r="T51" s="294"/>
      <c r="U51" s="294"/>
      <c r="V51" s="294"/>
      <c r="W51" s="294"/>
      <c r="X51" s="294"/>
      <c r="AA51" s="302"/>
      <c r="AD51" s="433"/>
      <c r="AE51" s="394"/>
      <c r="AF51" s="394"/>
      <c r="AG51" s="394"/>
      <c r="AH51" s="394"/>
    </row>
    <row r="52" spans="4:34" ht="15" customHeight="1">
      <c r="D52" s="367"/>
      <c r="E52" s="367"/>
      <c r="F52" s="593"/>
      <c r="G52" s="367"/>
      <c r="H52" s="367"/>
      <c r="I52" s="367"/>
      <c r="J52" s="367"/>
      <c r="K52" s="367"/>
      <c r="L52" s="367"/>
      <c r="M52" s="593"/>
      <c r="N52" s="367"/>
      <c r="O52" s="415"/>
      <c r="P52" s="367"/>
      <c r="Q52" s="367"/>
      <c r="R52" s="367"/>
      <c r="AA52" s="393"/>
      <c r="AD52" s="434"/>
      <c r="AE52" s="394"/>
      <c r="AF52" s="394"/>
      <c r="AG52" s="394"/>
      <c r="AH52" s="394"/>
    </row>
    <row r="53" spans="4:34" ht="15" customHeight="1">
      <c r="D53" s="367"/>
      <c r="E53" s="367"/>
      <c r="F53" s="367"/>
      <c r="G53" s="416"/>
      <c r="H53" s="598"/>
      <c r="I53" s="416"/>
      <c r="J53" s="367"/>
      <c r="K53" s="416"/>
      <c r="L53" s="599"/>
      <c r="M53" s="367"/>
      <c r="N53" s="416"/>
      <c r="O53" s="431"/>
      <c r="P53" s="367"/>
      <c r="Q53" s="367"/>
      <c r="R53" s="367"/>
      <c r="Z53" s="294">
        <v>3943000</v>
      </c>
      <c r="AA53" s="303"/>
      <c r="AD53" s="434"/>
      <c r="AE53" s="394"/>
      <c r="AF53" s="394"/>
      <c r="AG53" s="394"/>
      <c r="AH53" s="394"/>
    </row>
    <row r="54" spans="4:34" ht="15" customHeight="1">
      <c r="D54" s="367"/>
      <c r="E54" s="367"/>
      <c r="F54" s="301"/>
      <c r="G54" s="600"/>
      <c r="H54" s="598"/>
      <c r="I54" s="601"/>
      <c r="J54" s="367"/>
      <c r="K54" s="602"/>
      <c r="L54" s="599"/>
      <c r="M54" s="101"/>
      <c r="N54" s="416"/>
      <c r="O54" s="431"/>
      <c r="P54" s="367"/>
      <c r="Q54" s="367"/>
      <c r="R54" s="367"/>
      <c r="Z54" s="294"/>
      <c r="AA54" s="303"/>
      <c r="AD54" s="434"/>
      <c r="AE54" s="394"/>
      <c r="AF54" s="394"/>
      <c r="AG54" s="394"/>
      <c r="AH54" s="394"/>
    </row>
    <row r="55" spans="4:36" ht="15" customHeight="1">
      <c r="D55" s="367"/>
      <c r="E55" s="367"/>
      <c r="F55" s="301"/>
      <c r="G55" s="603"/>
      <c r="H55" s="598"/>
      <c r="I55" s="604"/>
      <c r="J55" s="367"/>
      <c r="K55" s="602"/>
      <c r="L55" s="599"/>
      <c r="M55" s="101"/>
      <c r="N55" s="416"/>
      <c r="O55" s="431"/>
      <c r="P55" s="367"/>
      <c r="Q55" s="367"/>
      <c r="R55" s="367"/>
      <c r="Z55" s="296"/>
      <c r="AA55" s="297"/>
      <c r="AB55" s="297"/>
      <c r="AC55" s="297"/>
      <c r="AD55" s="435"/>
      <c r="AE55" s="296"/>
      <c r="AF55" s="296"/>
      <c r="AG55" s="296"/>
      <c r="AH55" s="296"/>
      <c r="AI55" s="367"/>
      <c r="AJ55" s="367"/>
    </row>
    <row r="56" spans="4:34" ht="15" customHeight="1">
      <c r="D56" s="367"/>
      <c r="E56" s="367"/>
      <c r="F56" s="301"/>
      <c r="G56" s="301"/>
      <c r="H56" s="301"/>
      <c r="I56" s="301"/>
      <c r="J56" s="367"/>
      <c r="K56" s="301"/>
      <c r="L56" s="301"/>
      <c r="M56" s="301"/>
      <c r="N56" s="416"/>
      <c r="O56" s="431"/>
      <c r="P56" s="367"/>
      <c r="Q56" s="367"/>
      <c r="R56" s="367"/>
      <c r="Z56" s="294"/>
      <c r="AA56" s="303"/>
      <c r="AD56" s="434"/>
      <c r="AE56" s="394"/>
      <c r="AF56" s="394"/>
      <c r="AG56" s="394"/>
      <c r="AH56" s="394"/>
    </row>
    <row r="57" spans="4:34" ht="15" customHeight="1">
      <c r="D57" s="367"/>
      <c r="E57" s="367"/>
      <c r="F57" s="301"/>
      <c r="G57" s="600"/>
      <c r="H57" s="598"/>
      <c r="I57" s="601"/>
      <c r="J57" s="367"/>
      <c r="K57" s="602"/>
      <c r="L57" s="599"/>
      <c r="M57" s="101"/>
      <c r="N57" s="416"/>
      <c r="O57" s="431"/>
      <c r="P57" s="367"/>
      <c r="Q57" s="367"/>
      <c r="R57" s="367"/>
      <c r="Z57" s="296"/>
      <c r="AA57" s="297"/>
      <c r="AB57" s="297"/>
      <c r="AC57" s="297"/>
      <c r="AD57" s="434"/>
      <c r="AE57" s="394"/>
      <c r="AF57" s="394"/>
      <c r="AG57" s="394"/>
      <c r="AH57" s="394"/>
    </row>
    <row r="58" spans="4:34" ht="15" customHeight="1">
      <c r="D58" s="367"/>
      <c r="E58" s="367"/>
      <c r="F58" s="301"/>
      <c r="G58" s="600"/>
      <c r="H58" s="598"/>
      <c r="I58" s="604"/>
      <c r="J58" s="367"/>
      <c r="K58" s="602"/>
      <c r="L58" s="599"/>
      <c r="M58" s="101"/>
      <c r="N58" s="416"/>
      <c r="O58" s="431"/>
      <c r="P58" s="367"/>
      <c r="Q58" s="367"/>
      <c r="R58" s="367"/>
      <c r="Z58" s="296"/>
      <c r="AA58" s="297"/>
      <c r="AB58" s="297"/>
      <c r="AC58" s="297"/>
      <c r="AD58" s="399"/>
      <c r="AE58" s="296"/>
      <c r="AF58" s="296"/>
      <c r="AG58" s="296"/>
      <c r="AH58" s="296"/>
    </row>
    <row r="59" spans="4:34" ht="15" customHeight="1">
      <c r="D59" s="367"/>
      <c r="E59" s="367"/>
      <c r="F59" s="367"/>
      <c r="G59" s="367"/>
      <c r="H59" s="367"/>
      <c r="I59" s="367"/>
      <c r="J59" s="367"/>
      <c r="K59" s="367"/>
      <c r="L59" s="367"/>
      <c r="M59" s="367"/>
      <c r="N59" s="367"/>
      <c r="O59" s="415"/>
      <c r="P59" s="367"/>
      <c r="Q59" s="367"/>
      <c r="R59" s="367"/>
      <c r="Z59" s="296"/>
      <c r="AA59" s="297"/>
      <c r="AB59" s="297"/>
      <c r="AC59" s="297"/>
      <c r="AD59" s="399"/>
      <c r="AE59" s="296"/>
      <c r="AF59" s="296"/>
      <c r="AG59" s="296"/>
      <c r="AH59" s="296"/>
    </row>
    <row r="60" spans="4:34" ht="15" customHeight="1">
      <c r="D60" s="367"/>
      <c r="E60" s="367"/>
      <c r="F60" s="367"/>
      <c r="G60" s="367"/>
      <c r="H60" s="367"/>
      <c r="I60" s="367"/>
      <c r="J60" s="367"/>
      <c r="K60" s="367"/>
      <c r="L60" s="367"/>
      <c r="M60" s="367"/>
      <c r="N60" s="367"/>
      <c r="O60" s="415"/>
      <c r="P60" s="367"/>
      <c r="Q60" s="367"/>
      <c r="R60" s="367"/>
      <c r="Z60" s="296"/>
      <c r="AA60" s="297"/>
      <c r="AB60" s="297"/>
      <c r="AC60" s="297"/>
      <c r="AD60" s="399"/>
      <c r="AE60" s="296"/>
      <c r="AF60" s="296"/>
      <c r="AG60" s="296"/>
      <c r="AH60" s="296"/>
    </row>
    <row r="61" spans="4:36" ht="15" customHeight="1">
      <c r="D61" s="367"/>
      <c r="E61" s="367"/>
      <c r="F61" s="367"/>
      <c r="G61" s="367"/>
      <c r="H61" s="593"/>
      <c r="I61" s="593"/>
      <c r="J61" s="593"/>
      <c r="K61" s="367"/>
      <c r="L61" s="367"/>
      <c r="M61" s="367"/>
      <c r="N61" s="593"/>
      <c r="O61" s="931"/>
      <c r="P61" s="367"/>
      <c r="Q61" s="367"/>
      <c r="R61" s="367"/>
      <c r="Z61" s="296"/>
      <c r="AA61" s="297"/>
      <c r="AB61" s="297"/>
      <c r="AC61" s="297"/>
      <c r="AD61" s="435"/>
      <c r="AE61" s="296"/>
      <c r="AF61" s="296"/>
      <c r="AG61" s="296"/>
      <c r="AH61" s="296"/>
      <c r="AI61" s="367"/>
      <c r="AJ61" s="367"/>
    </row>
    <row r="62" spans="4:36" ht="15" customHeight="1">
      <c r="D62" s="367"/>
      <c r="E62" s="367"/>
      <c r="F62" s="367"/>
      <c r="G62" s="367"/>
      <c r="H62" s="605"/>
      <c r="I62" s="593"/>
      <c r="J62" s="593"/>
      <c r="K62" s="367"/>
      <c r="L62" s="367"/>
      <c r="M62" s="367"/>
      <c r="N62" s="593"/>
      <c r="O62" s="931"/>
      <c r="P62" s="367"/>
      <c r="Q62" s="367"/>
      <c r="R62" s="367"/>
      <c r="Z62" s="296"/>
      <c r="AA62" s="297"/>
      <c r="AB62" s="297"/>
      <c r="AC62" s="297"/>
      <c r="AD62" s="435"/>
      <c r="AE62" s="296"/>
      <c r="AF62" s="296"/>
      <c r="AG62" s="296"/>
      <c r="AH62" s="296"/>
      <c r="AI62" s="367"/>
      <c r="AJ62" s="367"/>
    </row>
    <row r="63" spans="4:36" ht="15" customHeight="1">
      <c r="D63" s="367"/>
      <c r="E63" s="367"/>
      <c r="F63" s="367"/>
      <c r="G63" s="367"/>
      <c r="H63" s="593"/>
      <c r="I63" s="593"/>
      <c r="J63" s="593"/>
      <c r="K63" s="367"/>
      <c r="L63" s="367"/>
      <c r="M63" s="367"/>
      <c r="N63" s="593"/>
      <c r="O63" s="931"/>
      <c r="P63" s="367"/>
      <c r="Q63" s="367"/>
      <c r="R63" s="367"/>
      <c r="Z63" s="296"/>
      <c r="AA63" s="297"/>
      <c r="AB63" s="297"/>
      <c r="AC63" s="297"/>
      <c r="AD63" s="435"/>
      <c r="AE63" s="296"/>
      <c r="AF63" s="296"/>
      <c r="AG63" s="296"/>
      <c r="AH63" s="296"/>
      <c r="AI63" s="367"/>
      <c r="AJ63" s="367"/>
    </row>
    <row r="64" spans="4:36" ht="15" customHeight="1">
      <c r="D64" s="367"/>
      <c r="E64" s="367"/>
      <c r="F64" s="367"/>
      <c r="G64" s="367"/>
      <c r="H64" s="367"/>
      <c r="I64" s="367"/>
      <c r="J64" s="367"/>
      <c r="K64" s="606"/>
      <c r="L64" s="367"/>
      <c r="M64" s="367"/>
      <c r="N64" s="367"/>
      <c r="O64" s="415"/>
      <c r="P64" s="367"/>
      <c r="Q64" s="367"/>
      <c r="R64" s="367"/>
      <c r="AD64" s="436"/>
      <c r="AI64" s="367"/>
      <c r="AJ64" s="367"/>
    </row>
    <row r="65" spans="30:36" ht="15" customHeight="1">
      <c r="AD65" s="436"/>
      <c r="AI65" s="367"/>
      <c r="AJ65" s="367"/>
    </row>
    <row r="66" spans="30:36" ht="12.75">
      <c r="AD66" s="436"/>
      <c r="AI66" s="367"/>
      <c r="AJ66" s="367"/>
    </row>
    <row r="67" spans="30:36" ht="12.75">
      <c r="AD67" s="436"/>
      <c r="AI67" s="367"/>
      <c r="AJ67" s="367"/>
    </row>
    <row r="68" spans="30:36" ht="12.75">
      <c r="AD68" s="437"/>
      <c r="AI68" s="367"/>
      <c r="AJ68" s="367"/>
    </row>
    <row r="69" spans="1:36" ht="12.75">
      <c r="A69" s="306"/>
      <c r="B69" s="307"/>
      <c r="AD69" s="438"/>
      <c r="AI69" s="367"/>
      <c r="AJ69" s="367"/>
    </row>
    <row r="70" spans="30:36" ht="12.75">
      <c r="AD70" s="437"/>
      <c r="AI70" s="367"/>
      <c r="AJ70" s="367"/>
    </row>
    <row r="71" spans="30:36" ht="12.75">
      <c r="AD71" s="437"/>
      <c r="AI71" s="367"/>
      <c r="AJ71" s="367"/>
    </row>
    <row r="72" spans="30:36" ht="12.75">
      <c r="AD72" s="414"/>
      <c r="AI72" s="367"/>
      <c r="AJ72" s="367"/>
    </row>
  </sheetData>
  <sheetProtection password="D6C3" sheet="1"/>
  <mergeCells count="31">
    <mergeCell ref="AD4:AD5"/>
    <mergeCell ref="X4:X5"/>
    <mergeCell ref="AE4:AE5"/>
    <mergeCell ref="Y4:Y5"/>
    <mergeCell ref="AI3:AJ3"/>
    <mergeCell ref="T4:T5"/>
    <mergeCell ref="AI4:AJ4"/>
    <mergeCell ref="AG4:AH4"/>
    <mergeCell ref="H4:H5"/>
    <mergeCell ref="L4:L5"/>
    <mergeCell ref="AA4:AA5"/>
    <mergeCell ref="V4:V5"/>
    <mergeCell ref="U4:U5"/>
    <mergeCell ref="S4:S5"/>
    <mergeCell ref="J3:L3"/>
    <mergeCell ref="P4:R4"/>
    <mergeCell ref="M4:M5"/>
    <mergeCell ref="G3:I3"/>
    <mergeCell ref="Z4:Z5"/>
    <mergeCell ref="N4:N5"/>
    <mergeCell ref="W4:W5"/>
    <mergeCell ref="J4:J5"/>
    <mergeCell ref="I4:I5"/>
    <mergeCell ref="K4:K5"/>
    <mergeCell ref="A2:B2"/>
    <mergeCell ref="C4:C5"/>
    <mergeCell ref="D4:D5"/>
    <mergeCell ref="F4:F5"/>
    <mergeCell ref="G4:G5"/>
    <mergeCell ref="E4:E5"/>
    <mergeCell ref="C3:F3"/>
  </mergeCells>
  <printOptions/>
  <pageMargins left="0.7480314960629921" right="0.7480314960629921" top="0.984251968503937" bottom="0.984251968503937" header="0.5118110236220472" footer="0.5118110236220472"/>
  <pageSetup fitToWidth="4" fitToHeight="1" horizontalDpi="600" verticalDpi="600" orientation="landscape" scale="62" r:id="rId3"/>
  <headerFooter alignWithMargins="0">
    <oddFooter>&amp;L&amp;12Steward Fee-Setting&amp;R&amp;12Stewardship Ontario, 
July, 2013</oddFooter>
  </headerFooter>
  <colBreaks count="2" manualBreakCount="2">
    <brk id="15" max="65535" man="1"/>
    <brk id="26" max="65535" man="1"/>
  </colBreaks>
  <legacyDrawing r:id="rId2"/>
</worksheet>
</file>

<file path=xl/worksheets/sheet6.xml><?xml version="1.0" encoding="utf-8"?>
<worksheet xmlns="http://schemas.openxmlformats.org/spreadsheetml/2006/main" xmlns:r="http://schemas.openxmlformats.org/officeDocument/2006/relationships">
  <sheetPr codeName="Sheet4">
    <tabColor indexed="33"/>
    <pageSetUpPr fitToPage="1"/>
  </sheetPr>
  <dimension ref="A1:N59"/>
  <sheetViews>
    <sheetView tabSelected="1" zoomScale="70" zoomScaleNormal="70" zoomScalePageLayoutView="0" workbookViewId="0" topLeftCell="A1">
      <pane xSplit="2" ySplit="6" topLeftCell="C7" activePane="bottomRight" state="frozen"/>
      <selection pane="topLeft" activeCell="A10" sqref="A10:C20"/>
      <selection pane="topRight" activeCell="A10" sqref="A10:C20"/>
      <selection pane="bottomLeft" activeCell="A10" sqref="A10:C20"/>
      <selection pane="bottomRight" activeCell="C7" sqref="C7"/>
    </sheetView>
  </sheetViews>
  <sheetFormatPr defaultColWidth="9.140625" defaultRowHeight="18" customHeight="1"/>
  <cols>
    <col min="1" max="1" width="40.00390625" style="5" customWidth="1"/>
    <col min="2" max="2" width="51.140625" style="5" bestFit="1" customWidth="1"/>
    <col min="3" max="4" width="20.57421875" style="5" customWidth="1"/>
    <col min="5" max="5" width="4.7109375" style="1" customWidth="1"/>
    <col min="6" max="6" width="19.140625" style="5" customWidth="1"/>
    <col min="7" max="7" width="5.28125" style="367" customWidth="1"/>
    <col min="8" max="8" width="23.140625" style="5" customWidth="1"/>
    <col min="9" max="9" width="20.7109375" style="5" customWidth="1"/>
    <col min="10" max="16384" width="9.140625" style="5" customWidth="1"/>
  </cols>
  <sheetData>
    <row r="1" spans="1:7" s="769" customFormat="1" ht="36.75" customHeight="1">
      <c r="A1" s="832" t="s">
        <v>198</v>
      </c>
      <c r="B1" s="832"/>
      <c r="E1" s="1"/>
      <c r="G1" s="768"/>
    </row>
    <row r="2" spans="1:7" s="769" customFormat="1" ht="12.75" customHeight="1">
      <c r="A2" s="767"/>
      <c r="B2" s="767"/>
      <c r="E2" s="1"/>
      <c r="G2" s="768"/>
    </row>
    <row r="3" spans="1:7" s="769" customFormat="1" ht="17.25" customHeight="1">
      <c r="A3" s="852"/>
      <c r="B3" s="852"/>
      <c r="C3" s="852"/>
      <c r="D3" s="852"/>
      <c r="E3" s="852"/>
      <c r="F3" s="852"/>
      <c r="G3" s="811"/>
    </row>
    <row r="4" ht="18" customHeight="1" thickBot="1"/>
    <row r="5" spans="1:7" s="664" customFormat="1" ht="52.5" customHeight="1" thickBot="1">
      <c r="A5" s="1049" t="s">
        <v>104</v>
      </c>
      <c r="B5" s="1047" t="s">
        <v>189</v>
      </c>
      <c r="C5" s="1043" t="s">
        <v>198</v>
      </c>
      <c r="D5" s="1044"/>
      <c r="E5" s="785"/>
      <c r="F5" s="770" t="s">
        <v>116</v>
      </c>
      <c r="G5" s="854"/>
    </row>
    <row r="6" spans="1:9" s="664" customFormat="1" ht="70.5" customHeight="1">
      <c r="A6" s="1050"/>
      <c r="B6" s="1048"/>
      <c r="C6" s="890" t="s">
        <v>161</v>
      </c>
      <c r="D6" s="891" t="s">
        <v>133</v>
      </c>
      <c r="E6" s="1"/>
      <c r="F6" s="771" t="s">
        <v>160</v>
      </c>
      <c r="G6" s="855"/>
      <c r="H6" s="858" t="s">
        <v>131</v>
      </c>
      <c r="I6" s="859" t="s">
        <v>132</v>
      </c>
    </row>
    <row r="7" spans="1:14" ht="18" customHeight="1">
      <c r="A7" s="940" t="s">
        <v>89</v>
      </c>
      <c r="B7" s="647" t="s">
        <v>172</v>
      </c>
      <c r="C7" s="773">
        <f>'Sheet 3 Disaggregated Fees'!AI8*100/1000</f>
        <v>3.4929355719424517</v>
      </c>
      <c r="D7" s="871">
        <f>+ROUNDUP('Sheet 3 Disaggregated Fees'!AD8/'Sheet 3 Disaggregated Fees'!AE8*ROUNDUP(((('Sheet 3 Disaggregated Fees'!AE8/'Sheet 3 Disaggregated Fees'!AF8*'Sheet 4 Fee Schedule'!$F$7)+SUM('Sheet 3 Disaggregated Fees'!$AE$8:$AE$12)/SUM('Sheet 3 Disaggregated Fees'!$AF$8:$AF$12)*(1-'Sheet 4 Fee Schedule'!$F$7))*10/100),2),2)</f>
        <v>0.38</v>
      </c>
      <c r="F7" s="1041">
        <v>0.5225</v>
      </c>
      <c r="G7" s="856"/>
      <c r="H7" s="872">
        <f>D7</f>
        <v>0.38</v>
      </c>
      <c r="I7" s="873">
        <f>+ROUNDUP((($F$7)*'Sheet 3 Disaggregated Fees'!$AE$8+((1-$F$7)*'Sheet 3 Disaggregated Fees'!$AF$8*SUM('Sheet 3 Disaggregated Fees'!$AE$8:$AE$12)/SUM('Sheet 3 Disaggregated Fees'!$AF$8:$AF$12)))/'Sheet 3 Disaggregated Fees'!$AF$8*100/1000-H7,2)</f>
        <v>4.71</v>
      </c>
      <c r="M7" s="664"/>
      <c r="N7" s="664"/>
    </row>
    <row r="8" spans="1:14" ht="18" customHeight="1" thickBot="1">
      <c r="A8" s="940" t="s">
        <v>65</v>
      </c>
      <c r="B8" s="647" t="s">
        <v>173</v>
      </c>
      <c r="C8" s="773">
        <f>'Sheet 3 Disaggregated Fees'!AI9*100/1000</f>
        <v>2.790727140239284</v>
      </c>
      <c r="D8" s="871">
        <f>+ROUNDUP((($F$7)*'Sheet 3 Disaggregated Fees'!$AE$9+((1-$F$7)*'Sheet 3 Disaggregated Fees'!$AF$9*SUM('Sheet 3 Disaggregated Fees'!$AE$8:$AE$12)/SUM('Sheet 3 Disaggregated Fees'!$AF$8:$AF$12)))/'Sheet 3 Disaggregated Fees'!$AF$9*100/1000,2)</f>
        <v>4.72</v>
      </c>
      <c r="F8" s="1045"/>
      <c r="G8" s="857"/>
      <c r="H8" s="860">
        <f>H7*'Sheet 3 Disaggregated Fees'!AF8*10</f>
        <v>555024.6256</v>
      </c>
      <c r="I8" s="861">
        <f>I7*'Sheet 3 Disaggregated Fees'!AF8*10</f>
        <v>6879384.1752</v>
      </c>
      <c r="M8" s="664"/>
      <c r="N8" s="664"/>
    </row>
    <row r="9" spans="1:14" ht="18" customHeight="1" thickBot="1">
      <c r="A9" s="940" t="s">
        <v>3</v>
      </c>
      <c r="B9" s="647" t="s">
        <v>3</v>
      </c>
      <c r="C9" s="773">
        <f>'Sheet 3 Disaggregated Fees'!AI10*100/1000</f>
        <v>5.781136828940639</v>
      </c>
      <c r="D9" s="871">
        <f>+ROUNDUP((($F$7)*(SUM('Sheet 3 Disaggregated Fees'!$AE$10:$AE$12)/SUM('Sheet 3 Disaggregated Fees'!$AF$10:$AF$12))*$I$10+$F$7*('Sheet 3 Disaggregated Fees'!AE10/'Sheet 3 Disaggregated Fees'!AF10)*(1-$I$10)+((1-$F$7)*SUM('Sheet 3 Disaggregated Fees'!$AF$10:$AF$12)*SUM('Sheet 3 Disaggregated Fees'!$AE$8:$AE$12)/SUM('Sheet 3 Disaggregated Fees'!$AF$8:$AF$12))/SUM('Sheet 3 Disaggregated Fees'!$AF$10:AF$12))*100/1000,2)</f>
        <v>7.74</v>
      </c>
      <c r="F9" s="1045"/>
      <c r="G9" s="857"/>
      <c r="H9" s="883"/>
      <c r="I9" s="883"/>
      <c r="M9" s="664"/>
      <c r="N9" s="664"/>
    </row>
    <row r="10" spans="1:14" ht="18" customHeight="1">
      <c r="A10" s="940" t="s">
        <v>1</v>
      </c>
      <c r="B10" s="647" t="s">
        <v>174</v>
      </c>
      <c r="C10" s="773">
        <f>'Sheet 3 Disaggregated Fees'!AI11*100/1000</f>
        <v>5.2647527899107365</v>
      </c>
      <c r="D10" s="871">
        <f>+ROUNDUP((($F$7)*(SUM('Sheet 3 Disaggregated Fees'!$AE$10:$AE$12)/SUM('Sheet 3 Disaggregated Fees'!$AF$10:$AF$12))*$I$10+$F$7*('Sheet 3 Disaggregated Fees'!AE11/'Sheet 3 Disaggregated Fees'!AF11)*(1-$I$10)+((1-$F$7)*SUM('Sheet 3 Disaggregated Fees'!$AF$10:$AF$12)*SUM('Sheet 3 Disaggregated Fees'!$AE$8:$AE$12)/SUM('Sheet 3 Disaggregated Fees'!$AF$8:$AF$12))/SUM('Sheet 3 Disaggregated Fees'!$AF$10:AF$12))*100/1000,2)</f>
        <v>7.54</v>
      </c>
      <c r="F10" s="1045"/>
      <c r="G10" s="857"/>
      <c r="H10" s="1035" t="s">
        <v>191</v>
      </c>
      <c r="I10" s="1038">
        <v>0.25</v>
      </c>
      <c r="M10" s="664"/>
      <c r="N10" s="664"/>
    </row>
    <row r="11" spans="1:14" ht="18" customHeight="1">
      <c r="A11" s="940" t="s">
        <v>2</v>
      </c>
      <c r="B11" s="647" t="s">
        <v>175</v>
      </c>
      <c r="C11" s="773">
        <f>'Sheet 3 Disaggregated Fees'!AI12*100/1000</f>
        <v>26.84885435112509</v>
      </c>
      <c r="D11" s="871">
        <f>+ROUNDUP((($F$7)*(SUM('Sheet 3 Disaggregated Fees'!$AE$10:$AE$12)/SUM('Sheet 3 Disaggregated Fees'!$AF$10:$AF$12))*$I$10+$F$7*('Sheet 3 Disaggregated Fees'!AE12/'Sheet 3 Disaggregated Fees'!AF12)*(1-$I$10)+((1-$F$7)*SUM('Sheet 3 Disaggregated Fees'!$AF$10:$AF$12)*SUM('Sheet 3 Disaggregated Fees'!$AE$8:$AE$12)/SUM('Sheet 3 Disaggregated Fees'!$AF$8:$AF$12))/SUM('Sheet 3 Disaggregated Fees'!$AF$10:AF$12))*100/1000,2)</f>
        <v>16</v>
      </c>
      <c r="F11" s="1042"/>
      <c r="G11" s="857"/>
      <c r="H11" s="1036"/>
      <c r="I11" s="1039"/>
      <c r="M11" s="664"/>
      <c r="N11" s="664"/>
    </row>
    <row r="12" spans="1:14" ht="18" customHeight="1" thickBot="1">
      <c r="A12" s="942" t="s">
        <v>184</v>
      </c>
      <c r="B12" s="649"/>
      <c r="C12" s="774">
        <f>'Sheet 3 Disaggregated Fees'!AI13*100/1000</f>
        <v>6.816871720154808</v>
      </c>
      <c r="D12" s="874"/>
      <c r="F12" s="775"/>
      <c r="H12" s="1037"/>
      <c r="I12" s="1040"/>
      <c r="M12" s="664"/>
      <c r="N12" s="664"/>
    </row>
    <row r="13" spans="1:14" ht="18" customHeight="1">
      <c r="A13" s="940" t="s">
        <v>145</v>
      </c>
      <c r="B13" s="647" t="s">
        <v>145</v>
      </c>
      <c r="C13" s="773">
        <f>'Sheet 3 Disaggregated Fees'!AI16*100/1000</f>
        <v>10.220393940225275</v>
      </c>
      <c r="D13" s="871">
        <f>+ROUNDUP((($F$13)*SUM('Sheet 3 Disaggregated Fees'!$AE$16,'Sheet 3 Disaggregated Fees'!$AE$17)+((1-$F$13)*SUM('Sheet 3 Disaggregated Fees'!$AF$16,'Sheet 3 Disaggregated Fees'!$AF$17)*SUM('Sheet 3 Disaggregated Fees'!$AE$16:$AE$20)/SUM('Sheet 3 Disaggregated Fees'!$AF$16:$AF$20)))/SUM('Sheet 3 Disaggregated Fees'!$AF$16,'Sheet 3 Disaggregated Fees'!$AF$17)*100/1000,2)</f>
        <v>8.459999999999999</v>
      </c>
      <c r="F13" s="1041">
        <v>1</v>
      </c>
      <c r="G13" s="857"/>
      <c r="I13" s="883"/>
      <c r="M13" s="664"/>
      <c r="N13" s="664"/>
    </row>
    <row r="14" spans="1:14" ht="18" customHeight="1">
      <c r="A14" s="940" t="s">
        <v>147</v>
      </c>
      <c r="B14" s="647" t="s">
        <v>176</v>
      </c>
      <c r="C14" s="773">
        <f>'Sheet 3 Disaggregated Fees'!AI17*100/1000</f>
        <v>7.124198127734907</v>
      </c>
      <c r="D14" s="871">
        <f>+ROUNDUP((($F$13)*SUM('Sheet 3 Disaggregated Fees'!$AE$16,'Sheet 3 Disaggregated Fees'!$AE$17)+((1-$F$13)*SUM('Sheet 3 Disaggregated Fees'!$AF$16,'Sheet 3 Disaggregated Fees'!$AF$17)*SUM('Sheet 3 Disaggregated Fees'!$AE$16:$AE$20)/SUM('Sheet 3 Disaggregated Fees'!$AF$16:$AF$20)))/SUM('Sheet 3 Disaggregated Fees'!$AF$16,'Sheet 3 Disaggregated Fees'!$AF$17)*100/1000,2)</f>
        <v>8.459999999999999</v>
      </c>
      <c r="F14" s="1045"/>
      <c r="G14" s="857"/>
      <c r="H14"/>
      <c r="I14" s="864"/>
      <c r="M14" s="664"/>
      <c r="N14" s="664"/>
    </row>
    <row r="15" spans="1:14" ht="18" customHeight="1">
      <c r="A15" s="940" t="s">
        <v>146</v>
      </c>
      <c r="B15" s="647" t="s">
        <v>177</v>
      </c>
      <c r="C15" s="773">
        <f>'Sheet 3 Disaggregated Fees'!AI18*100/1000</f>
        <v>17.071387121756988</v>
      </c>
      <c r="D15" s="871">
        <f>+ROUNDUP((($F$13)*SUM('Sheet 3 Disaggregated Fees'!$AE$18:$AE$20)+((1-$F$13)*SUM('Sheet 3 Disaggregated Fees'!$AF$18:$AF$20)*SUM('Sheet 3 Disaggregated Fees'!$AE$16:$AE$20)/SUM('Sheet 3 Disaggregated Fees'!$AF$16:$AF$20)))/SUM('Sheet 3 Disaggregated Fees'!$AF$18:$AF$20)*100/1000,2)</f>
        <v>21.290000000000003</v>
      </c>
      <c r="F15" s="1045"/>
      <c r="G15" s="857"/>
      <c r="H15"/>
      <c r="I15" s="864"/>
      <c r="M15" s="664"/>
      <c r="N15" s="664"/>
    </row>
    <row r="16" spans="1:14" ht="18" customHeight="1">
      <c r="A16" s="940" t="s">
        <v>178</v>
      </c>
      <c r="B16" s="647" t="s">
        <v>178</v>
      </c>
      <c r="C16" s="773">
        <f>'Sheet 3 Disaggregated Fees'!AI19*100/1000</f>
        <v>24.99811403989272</v>
      </c>
      <c r="D16" s="871">
        <f>+ROUNDUP((($F$13)*SUM('Sheet 3 Disaggregated Fees'!$AE$18:$AE$20)+((1-$F$13)*SUM('Sheet 3 Disaggregated Fees'!$AF$18:$AF$20)*SUM('Sheet 3 Disaggregated Fees'!$AE$16:$AE$20)/SUM('Sheet 3 Disaggregated Fees'!$AF$16:$AF$20)))/SUM('Sheet 3 Disaggregated Fees'!$AF$18:$AF$20)*100/1000,2)</f>
        <v>21.290000000000003</v>
      </c>
      <c r="F16" s="1045"/>
      <c r="G16" s="857"/>
      <c r="H16" s="882"/>
      <c r="I16" s="864"/>
      <c r="M16" s="664"/>
      <c r="N16" s="664"/>
    </row>
    <row r="17" spans="1:14" ht="18" customHeight="1">
      <c r="A17" s="940" t="s">
        <v>5</v>
      </c>
      <c r="B17" s="647" t="s">
        <v>5</v>
      </c>
      <c r="C17" s="773">
        <f>'Sheet 3 Disaggregated Fees'!AI20*100/1000</f>
        <v>15.371740618818533</v>
      </c>
      <c r="D17" s="871">
        <f>+ROUNDUP((($F$13)*SUM('Sheet 3 Disaggregated Fees'!$AE$18:$AE$20)+((1-$F$13)*SUM('Sheet 3 Disaggregated Fees'!$AF$18:$AF$20)*SUM('Sheet 3 Disaggregated Fees'!$AE$16:$AE$20)/SUM('Sheet 3 Disaggregated Fees'!$AF$16:$AF$20)))/SUM('Sheet 3 Disaggregated Fees'!$AF$18:$AF$20)*100/1000,2)</f>
        <v>21.290000000000003</v>
      </c>
      <c r="F17" s="1042"/>
      <c r="G17" s="857"/>
      <c r="H17"/>
      <c r="I17" s="864"/>
      <c r="M17" s="664"/>
      <c r="N17" s="664"/>
    </row>
    <row r="18" spans="1:14" ht="18" customHeight="1">
      <c r="A18" s="942" t="s">
        <v>4</v>
      </c>
      <c r="B18" s="649"/>
      <c r="C18" s="774">
        <f>'Sheet 3 Disaggregated Fees'!AI21*100/1000</f>
        <v>10.37786278055325</v>
      </c>
      <c r="D18" s="874"/>
      <c r="F18" s="775"/>
      <c r="H18"/>
      <c r="I18" s="864"/>
      <c r="M18" s="664"/>
      <c r="N18" s="664"/>
    </row>
    <row r="19" spans="1:14" ht="18" customHeight="1">
      <c r="A19" s="1046" t="s">
        <v>148</v>
      </c>
      <c r="B19" s="647" t="s">
        <v>206</v>
      </c>
      <c r="C19" s="773">
        <f>'Sheet 3 Disaggregated Fees'!AI22*100/1000</f>
        <v>15.185592463025397</v>
      </c>
      <c r="D19" s="871">
        <f>+ROUNDUP((($F$19)*'Sheet 3 Disaggregated Fees'!$AE$22+((1-$F$19)*'Sheet 3 Disaggregated Fees'!$AF$22*SUM('Sheet 3 Disaggregated Fees'!$AE$22:$AE$27)/SUM('Sheet 3 Disaggregated Fees'!$AF$22:$AF$27)))/'Sheet 3 Disaggregated Fees'!$AF$22*100/1000,2)</f>
        <v>15.19</v>
      </c>
      <c r="F19" s="1041">
        <v>1</v>
      </c>
      <c r="G19" s="857"/>
      <c r="H19"/>
      <c r="I19" s="864"/>
      <c r="M19" s="664"/>
      <c r="N19" s="664"/>
    </row>
    <row r="20" spans="1:14" ht="18" customHeight="1">
      <c r="A20" s="1046"/>
      <c r="B20" s="647" t="s">
        <v>210</v>
      </c>
      <c r="C20" s="773">
        <f>'Sheet 3 Disaggregated Fees'!AI22*100/1000</f>
        <v>15.185592463025397</v>
      </c>
      <c r="D20" s="871">
        <f>+ROUNDUP((($F$19)*'Sheet 3 Disaggregated Fees'!$AE$22+((1-$F$19)*'Sheet 3 Disaggregated Fees'!$AF$22*SUM('Sheet 3 Disaggregated Fees'!$AE$22:$AE$27)/SUM('Sheet 3 Disaggregated Fees'!$AF$22:$AF$27)))/'Sheet 3 Disaggregated Fees'!$AF$22*100/1000,2)</f>
        <v>15.19</v>
      </c>
      <c r="F20" s="1045"/>
      <c r="G20" s="857"/>
      <c r="H20"/>
      <c r="I20" s="864"/>
      <c r="M20" s="664"/>
      <c r="N20" s="664"/>
    </row>
    <row r="21" spans="1:14" ht="18" customHeight="1">
      <c r="A21" s="1046" t="s">
        <v>149</v>
      </c>
      <c r="B21" s="647" t="s">
        <v>207</v>
      </c>
      <c r="C21" s="773">
        <f>'Sheet 3 Disaggregated Fees'!AI23*100/1000</f>
        <v>13.111680919585883</v>
      </c>
      <c r="D21" s="871">
        <f>+ROUNDUP((($F$19)*'Sheet 3 Disaggregated Fees'!$AE$23+((1-$F$19)*'Sheet 3 Disaggregated Fees'!$AF$23*SUM('Sheet 3 Disaggregated Fees'!$AE$22:$AE$27)/SUM('Sheet 3 Disaggregated Fees'!$AF$22:$AF$27)))/'Sheet 3 Disaggregated Fees'!$AF$23*100/1000,2)</f>
        <v>13.12</v>
      </c>
      <c r="F21" s="1045"/>
      <c r="G21" s="857"/>
      <c r="H21"/>
      <c r="I21" s="864"/>
      <c r="M21" s="664"/>
      <c r="N21" s="664"/>
    </row>
    <row r="22" spans="1:14" ht="18" customHeight="1">
      <c r="A22" s="1046"/>
      <c r="B22" s="647" t="s">
        <v>211</v>
      </c>
      <c r="C22" s="773">
        <f>'Sheet 3 Disaggregated Fees'!AI23*100/1000</f>
        <v>13.111680919585883</v>
      </c>
      <c r="D22" s="871">
        <f>+ROUNDUP((($F$19)*'Sheet 3 Disaggregated Fees'!$AE$23+((1-$F$19)*'Sheet 3 Disaggregated Fees'!$AF$23*SUM('Sheet 3 Disaggregated Fees'!$AE$22:$AE$27)/SUM('Sheet 3 Disaggregated Fees'!$AF$22:$AF$27)))/'Sheet 3 Disaggregated Fees'!$AF$23*100/1000,2)</f>
        <v>13.12</v>
      </c>
      <c r="F22" s="1045"/>
      <c r="G22" s="857"/>
      <c r="H22"/>
      <c r="I22" s="864"/>
      <c r="M22" s="664"/>
      <c r="N22" s="664"/>
    </row>
    <row r="23" spans="1:14" ht="18" customHeight="1">
      <c r="A23" s="1046" t="s">
        <v>6</v>
      </c>
      <c r="B23" s="647" t="s">
        <v>179</v>
      </c>
      <c r="C23" s="773">
        <f>'Sheet 3 Disaggregated Fees'!AI24*100/1000</f>
        <v>28.844835352055004</v>
      </c>
      <c r="D23" s="871">
        <f>+ROUNDUP((($F$19)*SUM('Sheet 3 Disaggregated Fees'!$AE$24:$AE$27)+((1-$F$19)*SUM('Sheet 3 Disaggregated Fees'!$AF$24:$AF$27)*SUM('Sheet 3 Disaggregated Fees'!$AE$22:$AE$27)/SUM('Sheet 3 Disaggregated Fees'!$AF$22:$AF$27)))/SUM('Sheet 3 Disaggregated Fees'!$AF$24:$AF$27)*100/1000,2)</f>
        <v>28.1</v>
      </c>
      <c r="F23" s="1045"/>
      <c r="G23" s="857"/>
      <c r="H23"/>
      <c r="I23" s="864"/>
      <c r="M23" s="664"/>
      <c r="N23" s="664"/>
    </row>
    <row r="24" spans="1:14" ht="18" customHeight="1">
      <c r="A24" s="1046"/>
      <c r="B24" s="647" t="s">
        <v>180</v>
      </c>
      <c r="C24" s="773">
        <f>'Sheet 3 Disaggregated Fees'!AI24*100/1000</f>
        <v>28.844835352055004</v>
      </c>
      <c r="D24" s="871">
        <f>+ROUNDUP((($F$19)*SUM('Sheet 3 Disaggregated Fees'!$AE$24:$AE$27)+((1-$F$19)*SUM('Sheet 3 Disaggregated Fees'!$AF$24:$AF$27)*SUM('Sheet 3 Disaggregated Fees'!$AE$22:$AE$27)/SUM('Sheet 3 Disaggregated Fees'!$AF$22:$AF$27)))/SUM('Sheet 3 Disaggregated Fees'!$AF$24:$AF$27)*100/1000,2)</f>
        <v>28.1</v>
      </c>
      <c r="F24" s="1045"/>
      <c r="G24" s="857"/>
      <c r="H24"/>
      <c r="I24" s="864"/>
      <c r="M24" s="664"/>
      <c r="N24" s="664"/>
    </row>
    <row r="25" spans="1:14" ht="18" customHeight="1">
      <c r="A25" s="940" t="s">
        <v>186</v>
      </c>
      <c r="B25" s="647" t="s">
        <v>186</v>
      </c>
      <c r="C25" s="773">
        <f>'Sheet 3 Disaggregated Fees'!AI25*100/1000</f>
        <v>40.279038647953655</v>
      </c>
      <c r="D25" s="871">
        <f>+ROUNDUP((($F$19)*SUM('Sheet 3 Disaggregated Fees'!$AE$24:$AE$27)+((1-$F$19)*SUM('Sheet 3 Disaggregated Fees'!$AF$24:$AF$27)*SUM('Sheet 3 Disaggregated Fees'!$AE$22:$AE$27)/SUM('Sheet 3 Disaggregated Fees'!$AF$22:$AF$27)))/SUM('Sheet 3 Disaggregated Fees'!$AF$24:$AF$27)*100/1000,2)</f>
        <v>28.1</v>
      </c>
      <c r="F25" s="1045"/>
      <c r="G25" s="857"/>
      <c r="M25" s="664"/>
      <c r="N25" s="664"/>
    </row>
    <row r="26" spans="1:14" ht="18" customHeight="1">
      <c r="A26" s="1046" t="s">
        <v>7</v>
      </c>
      <c r="B26" s="647" t="s">
        <v>181</v>
      </c>
      <c r="C26" s="773">
        <f>'Sheet 3 Disaggregated Fees'!AI26*100/1000</f>
        <v>30.17563568042834</v>
      </c>
      <c r="D26" s="871">
        <f>+ROUNDUP((($F$19)*SUM('Sheet 3 Disaggregated Fees'!$AE$24:$AE$27)+((1-$F$19)*SUM('Sheet 3 Disaggregated Fees'!$AF$24:$AF$27)*SUM('Sheet 3 Disaggregated Fees'!$AE$22:$AE$27)/SUM('Sheet 3 Disaggregated Fees'!$AF$22:$AF$27)))/SUM('Sheet 3 Disaggregated Fees'!$AF$24:$AF$27)*100/1000,2)</f>
        <v>28.1</v>
      </c>
      <c r="F26" s="1045"/>
      <c r="G26" s="857"/>
      <c r="I26" s="863"/>
      <c r="M26" s="664"/>
      <c r="N26" s="664"/>
    </row>
    <row r="27" spans="1:14" ht="18" customHeight="1">
      <c r="A27" s="1046"/>
      <c r="B27" s="647" t="s">
        <v>182</v>
      </c>
      <c r="C27" s="773">
        <f>'Sheet 3 Disaggregated Fees'!AI26*100/1000</f>
        <v>30.17563568042834</v>
      </c>
      <c r="D27" s="871">
        <f>+ROUNDUP((($F$19)*SUM('Sheet 3 Disaggregated Fees'!$AE$24:$AE$27)+((1-$F$19)*SUM('Sheet 3 Disaggregated Fees'!$AF$24:$AF$27)*SUM('Sheet 3 Disaggregated Fees'!$AE$22:$AE$27)/SUM('Sheet 3 Disaggregated Fees'!$AF$22:$AF$27)))/SUM('Sheet 3 Disaggregated Fees'!$AF$24:$AF$27)*100/1000,2)</f>
        <v>28.1</v>
      </c>
      <c r="F27" s="1045"/>
      <c r="G27" s="857"/>
      <c r="I27" s="863"/>
      <c r="M27" s="664"/>
      <c r="N27" s="664"/>
    </row>
    <row r="28" spans="1:14" ht="18" customHeight="1">
      <c r="A28" s="1046" t="s">
        <v>8</v>
      </c>
      <c r="B28" s="647" t="s">
        <v>208</v>
      </c>
      <c r="C28" s="773">
        <f>'Sheet 3 Disaggregated Fees'!AI27*100/1000</f>
        <v>22.986140882227485</v>
      </c>
      <c r="D28" s="871">
        <f>+ROUNDUP((($F$19)*SUM('Sheet 3 Disaggregated Fees'!$AE$24:$AE$27)+((1-$F$19)*SUM('Sheet 3 Disaggregated Fees'!$AF$24:$AF$27)*SUM('Sheet 3 Disaggregated Fees'!$AE$22:$AE$27)/SUM('Sheet 3 Disaggregated Fees'!$AF$22:$AF$27)))/SUM('Sheet 3 Disaggregated Fees'!$AF$24:$AF$27)*100/1000,2)</f>
        <v>28.1</v>
      </c>
      <c r="F28" s="1045"/>
      <c r="G28" s="857"/>
      <c r="M28" s="664"/>
      <c r="N28" s="664"/>
    </row>
    <row r="29" spans="1:14" ht="18" customHeight="1">
      <c r="A29" s="1046"/>
      <c r="B29" s="647" t="s">
        <v>209</v>
      </c>
      <c r="C29" s="773">
        <f>'Sheet 3 Disaggregated Fees'!AI27*100/1000</f>
        <v>22.986140882227485</v>
      </c>
      <c r="D29" s="871">
        <f>+ROUNDUP((($F$19)*SUM('Sheet 3 Disaggregated Fees'!$AE$24:$AE$27)+((1-$F$19)*SUM('Sheet 3 Disaggregated Fees'!$AF$24:$AF$27)*SUM('Sheet 3 Disaggregated Fees'!$AE$22:$AE$27)/SUM('Sheet 3 Disaggregated Fees'!$AF$22:$AF$27)))/SUM('Sheet 3 Disaggregated Fees'!$AF$24:$AF$27)*100/1000,2)</f>
        <v>28.1</v>
      </c>
      <c r="F29" s="1045"/>
      <c r="G29" s="857"/>
      <c r="M29" s="664"/>
      <c r="N29" s="664"/>
    </row>
    <row r="30" spans="1:14" ht="18" customHeight="1">
      <c r="A30" s="1046"/>
      <c r="B30" s="647" t="s">
        <v>183</v>
      </c>
      <c r="C30" s="773">
        <f>'Sheet 3 Disaggregated Fees'!AI27*100/1000</f>
        <v>22.986140882227485</v>
      </c>
      <c r="D30" s="871">
        <f>+ROUNDUP((($F$19)*SUM('Sheet 3 Disaggregated Fees'!$AE$24:$AE$27)+((1-$F$19)*SUM('Sheet 3 Disaggregated Fees'!$AF$24:$AF$27)*SUM('Sheet 3 Disaggregated Fees'!$AE$22:$AE$27)/SUM('Sheet 3 Disaggregated Fees'!$AF$22:$AF$27)))/SUM('Sheet 3 Disaggregated Fees'!$AF$24:$AF$27)*100/1000,2)</f>
        <v>28.1</v>
      </c>
      <c r="F30" s="1045"/>
      <c r="G30" s="857"/>
      <c r="M30" s="664"/>
      <c r="N30" s="664"/>
    </row>
    <row r="31" spans="1:14" ht="18" customHeight="1">
      <c r="A31" s="1046"/>
      <c r="B31" s="647" t="s">
        <v>205</v>
      </c>
      <c r="C31" s="773">
        <f>'Sheet 3 Disaggregated Fees'!AI27*100/1000</f>
        <v>22.986140882227485</v>
      </c>
      <c r="D31" s="871">
        <f>+ROUNDUP((($F$19)*SUM('Sheet 3 Disaggregated Fees'!$AE$24:$AE$27)+((1-$F$19)*SUM('Sheet 3 Disaggregated Fees'!$AF$24:$AF$27)*SUM('Sheet 3 Disaggregated Fees'!$AE$22:$AE$27)/SUM('Sheet 3 Disaggregated Fees'!$AF$22:$AF$27)))/SUM('Sheet 3 Disaggregated Fees'!$AF$24:$AF$27)*100/1000,2)</f>
        <v>28.1</v>
      </c>
      <c r="F31" s="1042"/>
      <c r="G31" s="857"/>
      <c r="M31" s="664"/>
      <c r="N31" s="664"/>
    </row>
    <row r="32" spans="1:14" ht="18" customHeight="1">
      <c r="A32" s="942" t="s">
        <v>43</v>
      </c>
      <c r="B32" s="649"/>
      <c r="C32" s="774">
        <f>'Sheet 3 Disaggregated Fees'!AI28*100/1000</f>
        <v>23.456870834897597</v>
      </c>
      <c r="D32" s="874"/>
      <c r="F32" s="775"/>
      <c r="M32" s="664"/>
      <c r="N32" s="664"/>
    </row>
    <row r="33" spans="1:14" ht="18" customHeight="1">
      <c r="A33" s="940" t="s">
        <v>100</v>
      </c>
      <c r="B33" s="647" t="s">
        <v>187</v>
      </c>
      <c r="C33" s="773">
        <f>'Sheet 3 Disaggregated Fees'!AI29*100/1000</f>
        <v>4.931023825365578</v>
      </c>
      <c r="D33" s="871">
        <f>+ROUNDUP(C36,2)</f>
        <v>5.77</v>
      </c>
      <c r="F33" s="1041">
        <v>0</v>
      </c>
      <c r="M33" s="664"/>
      <c r="N33" s="664"/>
    </row>
    <row r="34" spans="1:14" ht="18" customHeight="1">
      <c r="A34" s="940" t="s">
        <v>101</v>
      </c>
      <c r="B34" s="647" t="s">
        <v>196</v>
      </c>
      <c r="C34" s="773">
        <f>'Sheet 3 Disaggregated Fees'!AI30*100/1000</f>
        <v>8.237256085663713</v>
      </c>
      <c r="D34" s="871">
        <f>+ROUNDUP(C36,2)</f>
        <v>5.77</v>
      </c>
      <c r="F34" s="1045"/>
      <c r="M34" s="664"/>
      <c r="N34" s="664"/>
    </row>
    <row r="35" spans="1:14" ht="18" customHeight="1">
      <c r="A35" s="940" t="s">
        <v>102</v>
      </c>
      <c r="B35" s="647" t="s">
        <v>102</v>
      </c>
      <c r="C35" s="773">
        <f>'Sheet 3 Disaggregated Fees'!AI31*100/1000</f>
        <v>12.839042890505</v>
      </c>
      <c r="D35" s="871">
        <f>+ROUNDUP(C36,2)</f>
        <v>5.77</v>
      </c>
      <c r="F35" s="1042"/>
      <c r="M35" s="664"/>
      <c r="N35" s="664"/>
    </row>
    <row r="36" spans="1:14" ht="18" customHeight="1">
      <c r="A36" s="942" t="s">
        <v>185</v>
      </c>
      <c r="B36" s="649"/>
      <c r="C36" s="774">
        <f>'Sheet 3 Disaggregated Fees'!AI32*100/1000</f>
        <v>5.760170167834323</v>
      </c>
      <c r="D36" s="874"/>
      <c r="F36" s="775"/>
      <c r="M36" s="664"/>
      <c r="N36" s="664"/>
    </row>
    <row r="37" spans="1:14" ht="18" customHeight="1">
      <c r="A37" s="940" t="s">
        <v>103</v>
      </c>
      <c r="B37" s="647" t="s">
        <v>188</v>
      </c>
      <c r="C37" s="773">
        <f>'Sheet 3 Disaggregated Fees'!AI33*100/1000</f>
        <v>3.9722451486491535</v>
      </c>
      <c r="D37" s="871">
        <f>+ROUNDUP(C37,2)</f>
        <v>3.98</v>
      </c>
      <c r="F37" s="1041">
        <v>1</v>
      </c>
      <c r="M37" s="664"/>
      <c r="N37" s="664"/>
    </row>
    <row r="38" spans="1:14" ht="18" customHeight="1">
      <c r="A38" s="1046" t="s">
        <v>88</v>
      </c>
      <c r="B38" s="647" t="s">
        <v>197</v>
      </c>
      <c r="C38" s="773">
        <f>'Sheet 3 Disaggregated Fees'!AI34*100/1000</f>
        <v>8.540806573306917</v>
      </c>
      <c r="D38" s="871">
        <f>+ROUNDUP(C38,2)</f>
        <v>8.549999999999999</v>
      </c>
      <c r="F38" s="1045"/>
      <c r="M38" s="664"/>
      <c r="N38" s="664"/>
    </row>
    <row r="39" spans="1:14" ht="18" customHeight="1">
      <c r="A39" s="1046"/>
      <c r="B39" s="647" t="s">
        <v>88</v>
      </c>
      <c r="C39" s="773">
        <f>'Sheet 3 Disaggregated Fees'!AI34*100/1000</f>
        <v>8.540806573306917</v>
      </c>
      <c r="D39" s="871">
        <f>+ROUNDUP(C38,2)</f>
        <v>8.549999999999999</v>
      </c>
      <c r="F39" s="1042"/>
      <c r="M39" s="664"/>
      <c r="N39" s="664"/>
    </row>
    <row r="40" spans="1:14" ht="18" customHeight="1">
      <c r="A40" s="942" t="s">
        <v>45</v>
      </c>
      <c r="B40" s="649"/>
      <c r="C40" s="774">
        <f>'Sheet 3 Disaggregated Fees'!AI35*100/1000</f>
        <v>4.746563088517311</v>
      </c>
      <c r="D40" s="874"/>
      <c r="F40" s="775"/>
      <c r="M40" s="664"/>
      <c r="N40" s="664"/>
    </row>
    <row r="41" spans="1:14" ht="18" customHeight="1">
      <c r="A41" s="940" t="s">
        <v>118</v>
      </c>
      <c r="B41" s="647" t="s">
        <v>118</v>
      </c>
      <c r="C41" s="773">
        <f>'Sheet 3 Disaggregated Fees'!AI36*100/1000</f>
        <v>3.363902855279797</v>
      </c>
      <c r="D41" s="871">
        <f>+ROUNDUP(C41,2)</f>
        <v>3.3699999999999997</v>
      </c>
      <c r="F41" s="1041">
        <v>1</v>
      </c>
      <c r="M41" s="664"/>
      <c r="N41" s="664"/>
    </row>
    <row r="42" spans="1:14" ht="18" customHeight="1">
      <c r="A42" s="940" t="s">
        <v>53</v>
      </c>
      <c r="B42" s="647" t="s">
        <v>53</v>
      </c>
      <c r="C42" s="773">
        <f>'Sheet 3 Disaggregated Fees'!AI37*100/1000</f>
        <v>3.6405009523970167</v>
      </c>
      <c r="D42" s="871">
        <f>+ROUNDUP(C42,2)</f>
        <v>3.65</v>
      </c>
      <c r="F42" s="1042"/>
      <c r="M42" s="664"/>
      <c r="N42" s="664"/>
    </row>
    <row r="43" spans="1:6" ht="18" customHeight="1" thickBot="1">
      <c r="A43" s="943" t="s">
        <v>46</v>
      </c>
      <c r="B43" s="941"/>
      <c r="C43" s="776">
        <f>'Sheet 3 Disaggregated Fees'!AI38*100/1000</f>
        <v>3.4221193021612506</v>
      </c>
      <c r="D43" s="875"/>
      <c r="F43" s="777"/>
    </row>
    <row r="44" spans="1:4" ht="18" customHeight="1">
      <c r="A44" s="650"/>
      <c r="B44" s="650"/>
      <c r="C44" s="772"/>
      <c r="D44" s="772"/>
    </row>
    <row r="45" spans="1:7" s="778" customFormat="1" ht="24" customHeight="1">
      <c r="A45" s="778" t="s">
        <v>105</v>
      </c>
      <c r="E45" s="1"/>
      <c r="G45" s="779"/>
    </row>
    <row r="46" spans="1:7" s="778" customFormat="1" ht="24" customHeight="1">
      <c r="A46" s="778" t="s">
        <v>119</v>
      </c>
      <c r="E46" s="1"/>
      <c r="G46" s="779"/>
    </row>
    <row r="47" spans="1:7" s="778" customFormat="1" ht="24" customHeight="1">
      <c r="A47" s="778" t="s">
        <v>120</v>
      </c>
      <c r="E47" s="1"/>
      <c r="G47" s="779"/>
    </row>
    <row r="48" spans="2:7" s="778" customFormat="1" ht="24" customHeight="1">
      <c r="B48" s="780" t="s">
        <v>163</v>
      </c>
      <c r="E48" s="1"/>
      <c r="G48" s="779"/>
    </row>
    <row r="49" spans="2:7" s="778" customFormat="1" ht="24" customHeight="1">
      <c r="B49" s="780" t="s">
        <v>164</v>
      </c>
      <c r="E49" s="1"/>
      <c r="G49" s="779"/>
    </row>
    <row r="50" spans="2:7" s="778" customFormat="1" ht="24" customHeight="1">
      <c r="B50" s="780" t="s">
        <v>165</v>
      </c>
      <c r="E50" s="1"/>
      <c r="G50" s="779"/>
    </row>
    <row r="51" spans="2:7" s="778" customFormat="1" ht="24" customHeight="1">
      <c r="B51" s="780" t="s">
        <v>166</v>
      </c>
      <c r="E51" s="1"/>
      <c r="G51" s="779"/>
    </row>
    <row r="52" spans="1:7" s="778" customFormat="1" ht="24" customHeight="1">
      <c r="A52" s="778" t="s">
        <v>167</v>
      </c>
      <c r="E52" s="1"/>
      <c r="G52" s="779"/>
    </row>
    <row r="53" spans="1:7" s="778" customFormat="1" ht="24" customHeight="1">
      <c r="A53" s="778" t="s">
        <v>168</v>
      </c>
      <c r="E53" s="1"/>
      <c r="G53" s="779"/>
    </row>
    <row r="54" spans="6:7" ht="18" customHeight="1">
      <c r="F54" s="778"/>
      <c r="G54" s="779"/>
    </row>
    <row r="55" spans="6:7" ht="18" customHeight="1">
      <c r="F55" s="778"/>
      <c r="G55" s="779"/>
    </row>
    <row r="56" spans="6:7" ht="18" customHeight="1">
      <c r="F56" s="778"/>
      <c r="G56" s="779"/>
    </row>
    <row r="57" spans="6:7" ht="18" customHeight="1">
      <c r="F57" s="778"/>
      <c r="G57" s="779"/>
    </row>
    <row r="58" spans="6:7" ht="18" customHeight="1">
      <c r="F58" s="778"/>
      <c r="G58" s="779"/>
    </row>
    <row r="59" spans="6:7" ht="18" customHeight="1">
      <c r="F59" s="778"/>
      <c r="G59" s="779"/>
    </row>
  </sheetData>
  <sheetProtection password="D6C3" sheet="1"/>
  <mergeCells count="17">
    <mergeCell ref="A38:A39"/>
    <mergeCell ref="B5:B6"/>
    <mergeCell ref="A5:A6"/>
    <mergeCell ref="A28:A31"/>
    <mergeCell ref="A26:A27"/>
    <mergeCell ref="A23:A24"/>
    <mergeCell ref="A21:A22"/>
    <mergeCell ref="A19:A20"/>
    <mergeCell ref="H10:H12"/>
    <mergeCell ref="I10:I12"/>
    <mergeCell ref="F41:F42"/>
    <mergeCell ref="C5:D5"/>
    <mergeCell ref="F7:F11"/>
    <mergeCell ref="F13:F17"/>
    <mergeCell ref="F33:F35"/>
    <mergeCell ref="F19:F31"/>
    <mergeCell ref="F37:F39"/>
  </mergeCells>
  <printOptions/>
  <pageMargins left="0.7480314960629921" right="0.7480314960629921" top="0.984251968503937" bottom="0.984251968503937" header="0.5118110236220472" footer="0.5118110236220472"/>
  <pageSetup fitToHeight="1" fitToWidth="1" horizontalDpi="600" verticalDpi="600" orientation="landscape" scale="54" r:id="rId1"/>
  <headerFooter alignWithMargins="0">
    <oddFooter>&amp;L&amp;12Steward Fee-Setting&amp;R&amp;12Stewardship Ontario, 
July, 2013</oddFooter>
  </headerFooter>
  <ignoredErrors>
    <ignoredError sqref="C21:D21 C23:D23 C25:D26 C28:D28" formula="1"/>
  </ignoredErrors>
</worksheet>
</file>

<file path=xl/worksheets/sheet7.xml><?xml version="1.0" encoding="utf-8"?>
<worksheet xmlns="http://schemas.openxmlformats.org/spreadsheetml/2006/main" xmlns:r="http://schemas.openxmlformats.org/officeDocument/2006/relationships">
  <sheetPr codeName="Sheet8">
    <tabColor rgb="FF00B0F0"/>
    <pageSetUpPr fitToPage="1"/>
  </sheetPr>
  <dimension ref="B1:D41"/>
  <sheetViews>
    <sheetView showGridLines="0" zoomScale="70" zoomScaleNormal="7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140625" defaultRowHeight="18" customHeight="1"/>
  <cols>
    <col min="1" max="1" width="5.00390625" style="944" customWidth="1"/>
    <col min="2" max="2" width="33.140625" style="944" bestFit="1" customWidth="1"/>
    <col min="3" max="3" width="48.421875" style="944" bestFit="1" customWidth="1"/>
    <col min="4" max="4" width="15.00390625" style="944" customWidth="1"/>
    <col min="5" max="16384" width="9.140625" style="945" customWidth="1"/>
  </cols>
  <sheetData>
    <row r="1" spans="2:4" ht="18" customHeight="1" thickBot="1">
      <c r="B1" s="952" t="s">
        <v>203</v>
      </c>
      <c r="C1" s="953"/>
      <c r="D1" s="953"/>
    </row>
    <row r="3" spans="2:4" ht="31.5">
      <c r="B3" s="1052" t="s">
        <v>19</v>
      </c>
      <c r="C3" s="1052" t="s">
        <v>15</v>
      </c>
      <c r="D3" s="951" t="str">
        <f>+'Sheet 4 Fee Schedule'!C5</f>
        <v>2015 Fee Rates</v>
      </c>
    </row>
    <row r="4" spans="2:4" ht="31.5">
      <c r="B4" s="1052"/>
      <c r="C4" s="1052"/>
      <c r="D4" s="951" t="str">
        <f>+'Sheet 4 Fee Schedule'!D6</f>
        <v>Aggregated (cents/kg)</v>
      </c>
    </row>
    <row r="5" spans="2:4" ht="15.75">
      <c r="B5" s="948"/>
      <c r="C5" s="948"/>
      <c r="D5" s="946"/>
    </row>
    <row r="6" spans="2:4" ht="18" customHeight="1">
      <c r="B6" s="1051" t="str">
        <f>+'Sheet 4 Fee Schedule'!A12</f>
        <v>Printed Materials</v>
      </c>
      <c r="C6" s="949" t="str">
        <f>+'Sheet 4 Fee Schedule'!B7</f>
        <v>Newsprint–CNA/OCNA Members</v>
      </c>
      <c r="D6" s="950">
        <f>+INDEX('Sheet 4 Fee Schedule'!$D$7:$D$42,MATCH(C6,'Sheet 4 Fee Schedule'!$B$7:$B$42,0))</f>
        <v>0.38</v>
      </c>
    </row>
    <row r="7" spans="2:4" ht="18" customHeight="1">
      <c r="B7" s="1051"/>
      <c r="C7" s="949" t="str">
        <f>+'Sheet 4 Fee Schedule'!B8</f>
        <v>Other Newsprint–Non-CNA/OCNA Members</v>
      </c>
      <c r="D7" s="950">
        <f>+INDEX('Sheet 4 Fee Schedule'!$D$7:$D$42,MATCH(C7,'Sheet 4 Fee Schedule'!$B$7:$B$42,0))</f>
        <v>4.72</v>
      </c>
    </row>
    <row r="8" spans="2:4" ht="18" customHeight="1">
      <c r="B8" s="1051"/>
      <c r="C8" s="949" t="str">
        <f>+'Sheet 4 Fee Schedule'!B9</f>
        <v>Magazines and Catalogues</v>
      </c>
      <c r="D8" s="950">
        <f>+INDEX('Sheet 4 Fee Schedule'!$D$7:$D$42,MATCH(C8,'Sheet 4 Fee Schedule'!$B$7:$B$42,0))</f>
        <v>7.74</v>
      </c>
    </row>
    <row r="9" spans="2:4" ht="18" customHeight="1">
      <c r="B9" s="1051"/>
      <c r="C9" s="949" t="str">
        <f>+'Sheet 4 Fee Schedule'!B10</f>
        <v>Directories</v>
      </c>
      <c r="D9" s="950">
        <f>+INDEX('Sheet 4 Fee Schedule'!$D$7:$D$42,MATCH(C9,'Sheet 4 Fee Schedule'!$B$7:$B$42,0))</f>
        <v>7.54</v>
      </c>
    </row>
    <row r="10" spans="2:4" ht="18" customHeight="1">
      <c r="B10" s="1051"/>
      <c r="C10" s="949" t="str">
        <f>+'Sheet 4 Fee Schedule'!B11</f>
        <v>Other Printed Materials</v>
      </c>
      <c r="D10" s="950">
        <f>+INDEX('Sheet 4 Fee Schedule'!$D$7:$D$42,MATCH(C10,'Sheet 4 Fee Schedule'!$B$7:$B$42,0))</f>
        <v>16</v>
      </c>
    </row>
    <row r="11" ht="18" customHeight="1">
      <c r="D11" s="947"/>
    </row>
    <row r="12" spans="2:4" ht="18" customHeight="1">
      <c r="B12" s="1051" t="str">
        <f>+'Sheet 4 Fee Schedule'!A18</f>
        <v>Paper Packaging</v>
      </c>
      <c r="C12" s="949" t="str">
        <f>+'Sheet 4 Fee Schedule'!B13</f>
        <v>Corrugated Cardboard</v>
      </c>
      <c r="D12" s="950">
        <f>+INDEX('Sheet 4 Fee Schedule'!$D$7:$D$42,MATCH(C12,'Sheet 4 Fee Schedule'!$B$7:$B$42,0))</f>
        <v>8.459999999999999</v>
      </c>
    </row>
    <row r="13" spans="2:4" ht="18" customHeight="1">
      <c r="B13" s="1051"/>
      <c r="C13" s="949" t="str">
        <f>+'Sheet 4 Fee Schedule'!B14</f>
        <v>Boxboard and Other Paper Packaging</v>
      </c>
      <c r="D13" s="950">
        <f>+INDEX('Sheet 4 Fee Schedule'!$D$7:$D$42,MATCH(C13,'Sheet 4 Fee Schedule'!$B$7:$B$42,0))</f>
        <v>8.459999999999999</v>
      </c>
    </row>
    <row r="14" spans="2:4" ht="18" customHeight="1">
      <c r="B14" s="1051"/>
      <c r="C14" s="949" t="str">
        <f>+'Sheet 4 Fee Schedule'!B15</f>
        <v>Gable Top Containers</v>
      </c>
      <c r="D14" s="950">
        <f>+INDEX('Sheet 4 Fee Schedule'!$D$7:$D$42,MATCH(C14,'Sheet 4 Fee Schedule'!$B$7:$B$42,0))</f>
        <v>21.290000000000003</v>
      </c>
    </row>
    <row r="15" spans="2:4" ht="18" customHeight="1">
      <c r="B15" s="1051"/>
      <c r="C15" s="949" t="str">
        <f>+'Sheet 4 Fee Schedule'!B16</f>
        <v>Paper Laminates</v>
      </c>
      <c r="D15" s="950">
        <f>+INDEX('Sheet 4 Fee Schedule'!$D$7:$D$42,MATCH(C15,'Sheet 4 Fee Schedule'!$B$7:$B$42,0))</f>
        <v>21.290000000000003</v>
      </c>
    </row>
    <row r="16" spans="2:4" ht="18" customHeight="1">
      <c r="B16" s="1051"/>
      <c r="C16" s="949" t="str">
        <f>+'Sheet 4 Fee Schedule'!B17</f>
        <v>Aseptic Containers</v>
      </c>
      <c r="D16" s="950">
        <f>+INDEX('Sheet 4 Fee Schedule'!$D$7:$D$42,MATCH(C16,'Sheet 4 Fee Schedule'!$B$7:$B$42,0))</f>
        <v>21.290000000000003</v>
      </c>
    </row>
    <row r="17" ht="18" customHeight="1">
      <c r="D17" s="947"/>
    </row>
    <row r="18" spans="2:4" ht="18" customHeight="1">
      <c r="B18" s="1051" t="str">
        <f>+'Sheet 4 Fee Schedule'!A32</f>
        <v>Plastic Packaging</v>
      </c>
      <c r="C18" s="949" t="s">
        <v>206</v>
      </c>
      <c r="D18" s="950">
        <f>+INDEX('Sheet 4 Fee Schedule'!$D$7:$D$42,MATCH(C18,'Sheet 4 Fee Schedule'!$B$7:$B$42,0))</f>
        <v>15.19</v>
      </c>
    </row>
    <row r="19" spans="2:4" ht="18" customHeight="1">
      <c r="B19" s="1051"/>
      <c r="C19" s="949" t="s">
        <v>210</v>
      </c>
      <c r="D19" s="950">
        <f>+INDEX('Sheet 4 Fee Schedule'!$D$7:$D$42,MATCH(C19,'Sheet 4 Fee Schedule'!$B$7:$B$42,0))</f>
        <v>15.19</v>
      </c>
    </row>
    <row r="20" spans="2:4" ht="18" customHeight="1">
      <c r="B20" s="1051"/>
      <c r="C20" s="949" t="s">
        <v>207</v>
      </c>
      <c r="D20" s="950">
        <f>+INDEX('Sheet 4 Fee Schedule'!$D$7:$D$42,MATCH(C20,'Sheet 4 Fee Schedule'!$B$7:$B$42,0))</f>
        <v>13.12</v>
      </c>
    </row>
    <row r="21" spans="2:4" ht="18" customHeight="1">
      <c r="B21" s="1051"/>
      <c r="C21" s="949" t="s">
        <v>211</v>
      </c>
      <c r="D21" s="950">
        <f>+INDEX('Sheet 4 Fee Schedule'!$D$7:$D$42,MATCH(C21,'Sheet 4 Fee Schedule'!$B$7:$B$42,0))</f>
        <v>13.12</v>
      </c>
    </row>
    <row r="22" spans="2:4" ht="18" customHeight="1">
      <c r="B22" s="1051"/>
      <c r="C22" s="949" t="str">
        <f>+'Sheet 4 Fee Schedule'!B23</f>
        <v>LDPE/HDPE Film</v>
      </c>
      <c r="D22" s="950">
        <f>+INDEX('Sheet 4 Fee Schedule'!$D$7:$D$42,MATCH(C22,'Sheet 4 Fee Schedule'!$B$7:$B$42,0))</f>
        <v>28.1</v>
      </c>
    </row>
    <row r="23" spans="2:4" ht="18" customHeight="1">
      <c r="B23" s="1051"/>
      <c r="C23" s="949" t="str">
        <f>+'Sheet 4 Fee Schedule'!B24</f>
        <v>LDPE/HDPE Film Carry-Out Bags</v>
      </c>
      <c r="D23" s="950">
        <f>+INDEX('Sheet 4 Fee Schedule'!$D$7:$D$42,MATCH(C23,'Sheet 4 Fee Schedule'!$B$7:$B$42,0))</f>
        <v>28.1</v>
      </c>
    </row>
    <row r="24" spans="2:4" ht="18" customHeight="1">
      <c r="B24" s="1051"/>
      <c r="C24" s="949" t="str">
        <f>+'Sheet 4 Fee Schedule'!B25</f>
        <v>Plastic Laminates</v>
      </c>
      <c r="D24" s="950">
        <f>+INDEX('Sheet 4 Fee Schedule'!$D$7:$D$42,MATCH(C24,'Sheet 4 Fee Schedule'!$B$7:$B$42,0))</f>
        <v>28.1</v>
      </c>
    </row>
    <row r="25" spans="2:4" ht="18" customHeight="1">
      <c r="B25" s="1051"/>
      <c r="C25" s="949" t="str">
        <f>+'Sheet 4 Fee Schedule'!B26</f>
        <v>Expanded Polystyrene</v>
      </c>
      <c r="D25" s="950">
        <f>+INDEX('Sheet 4 Fee Schedule'!$D$7:$D$42,MATCH(C25,'Sheet 4 Fee Schedule'!$B$7:$B$42,0))</f>
        <v>28.1</v>
      </c>
    </row>
    <row r="26" spans="2:4" ht="18" customHeight="1">
      <c r="B26" s="1051"/>
      <c r="C26" s="949" t="str">
        <f>+'Sheet 4 Fee Schedule'!B27</f>
        <v>Non-Expanded Polystyrene</v>
      </c>
      <c r="D26" s="950">
        <f>+INDEX('Sheet 4 Fee Schedule'!$D$7:$D$42,MATCH(C26,'Sheet 4 Fee Schedule'!$B$7:$B$42,0))</f>
        <v>28.1</v>
      </c>
    </row>
    <row r="27" spans="2:4" ht="18" customHeight="1">
      <c r="B27" s="1051"/>
      <c r="C27" s="949" t="s">
        <v>208</v>
      </c>
      <c r="D27" s="950">
        <f>+INDEX('Sheet 4 Fee Schedule'!$D$7:$D$42,MATCH(C27,'Sheet 4 Fee Schedule'!$B$7:$B$42,0))</f>
        <v>28.1</v>
      </c>
    </row>
    <row r="28" spans="2:4" ht="18" customHeight="1">
      <c r="B28" s="1051"/>
      <c r="C28" s="949" t="s">
        <v>209</v>
      </c>
      <c r="D28" s="950">
        <f>+INDEX('Sheet 4 Fee Schedule'!$D$7:$D$42,MATCH(C28,'Sheet 4 Fee Schedule'!$B$7:$B$42,0))</f>
        <v>28.1</v>
      </c>
    </row>
    <row r="29" spans="2:4" ht="18" customHeight="1">
      <c r="B29" s="1051"/>
      <c r="C29" s="949" t="str">
        <f>+'Sheet 4 Fee Schedule'!B30</f>
        <v>Natural and Synthetic Textiles</v>
      </c>
      <c r="D29" s="950">
        <f>+INDEX('Sheet 4 Fee Schedule'!$D$7:$D$42,MATCH(C29,'Sheet 4 Fee Schedule'!$B$7:$B$42,0))</f>
        <v>28.1</v>
      </c>
    </row>
    <row r="30" spans="2:4" ht="18" customHeight="1">
      <c r="B30" s="1051"/>
      <c r="C30" s="949" t="str">
        <f>+'Sheet 4 Fee Schedule'!B31</f>
        <v>PLA, PHA, PHB</v>
      </c>
      <c r="D30" s="950">
        <f>+INDEX('Sheet 4 Fee Schedule'!$D$7:$D$42,MATCH(C30,'Sheet 4 Fee Schedule'!$B$7:$B$42,0))</f>
        <v>28.1</v>
      </c>
    </row>
    <row r="31" ht="18" customHeight="1">
      <c r="D31" s="947"/>
    </row>
    <row r="32" spans="2:4" ht="18" customHeight="1">
      <c r="B32" s="1051" t="str">
        <f>+'Sheet 4 Fee Schedule'!A36</f>
        <v>Steel and Other Metal Packaging</v>
      </c>
      <c r="C32" s="949" t="str">
        <f>+'Sheet 4 Fee Schedule'!B33</f>
        <v>Other Steel and Metal Containers and Packaging</v>
      </c>
      <c r="D32" s="950">
        <f>+INDEX('Sheet 4 Fee Schedule'!$D$7:$D$42,MATCH(C32,'Sheet 4 Fee Schedule'!$B$7:$B$42,0))</f>
        <v>5.77</v>
      </c>
    </row>
    <row r="33" spans="2:4" ht="18" customHeight="1">
      <c r="B33" s="1051"/>
      <c r="C33" s="949" t="str">
        <f>+'Sheet 4 Fee Schedule'!B34</f>
        <v>Steel Aerosol Containers</v>
      </c>
      <c r="D33" s="950">
        <f>+INDEX('Sheet 4 Fee Schedule'!$D$7:$D$42,MATCH(C33,'Sheet 4 Fee Schedule'!$B$7:$B$42,0))</f>
        <v>5.77</v>
      </c>
    </row>
    <row r="34" spans="2:4" ht="18" customHeight="1">
      <c r="B34" s="1051"/>
      <c r="C34" s="949" t="str">
        <f>+'Sheet 4 Fee Schedule'!B35</f>
        <v>Steel Paint Cans</v>
      </c>
      <c r="D34" s="950">
        <f>+INDEX('Sheet 4 Fee Schedule'!$D$7:$D$42,MATCH(C34,'Sheet 4 Fee Schedule'!$B$7:$B$42,0))</f>
        <v>5.77</v>
      </c>
    </row>
    <row r="35" ht="18" customHeight="1">
      <c r="D35" s="947"/>
    </row>
    <row r="36" spans="2:4" ht="18" customHeight="1">
      <c r="B36" s="1051" t="str">
        <f>+'Sheet 4 Fee Schedule'!A40</f>
        <v>Aluminum Packaging</v>
      </c>
      <c r="C36" s="949" t="str">
        <f>+'Sheet 4 Fee Schedule'!B37</f>
        <v>Aluminum Food and Beverage Containers</v>
      </c>
      <c r="D36" s="950">
        <f>+INDEX('Sheet 4 Fee Schedule'!$D$7:$D$42,MATCH(C36,'Sheet 4 Fee Schedule'!$B$7:$B$42,0))</f>
        <v>3.98</v>
      </c>
    </row>
    <row r="37" spans="2:4" ht="18" customHeight="1">
      <c r="B37" s="1051"/>
      <c r="C37" s="949" t="str">
        <f>+'Sheet 4 Fee Schedule'!B38</f>
        <v>Aluminum Aerosol Containers</v>
      </c>
      <c r="D37" s="950">
        <f>+INDEX('Sheet 4 Fee Schedule'!$D$7:$D$42,MATCH(C37,'Sheet 4 Fee Schedule'!$B$7:$B$42,0))</f>
        <v>8.549999999999999</v>
      </c>
    </row>
    <row r="38" spans="2:4" ht="18" customHeight="1">
      <c r="B38" s="1051"/>
      <c r="C38" s="949" t="str">
        <f>+'Sheet 4 Fee Schedule'!B39</f>
        <v>Other Aluminum Packaging</v>
      </c>
      <c r="D38" s="950">
        <f>+INDEX('Sheet 4 Fee Schedule'!$D$7:$D$42,MATCH(C38,'Sheet 4 Fee Schedule'!$B$7:$B$42,0))</f>
        <v>8.549999999999999</v>
      </c>
    </row>
    <row r="39" ht="18" customHeight="1">
      <c r="D39" s="947"/>
    </row>
    <row r="40" spans="2:4" ht="18" customHeight="1">
      <c r="B40" s="1051" t="str">
        <f>+'Sheet 4 Fee Schedule'!A43</f>
        <v>Glass Packaging</v>
      </c>
      <c r="C40" s="949" t="str">
        <f>+'Sheet 4 Fee Schedule'!B41</f>
        <v>Clear Glass</v>
      </c>
      <c r="D40" s="950">
        <f>+INDEX('Sheet 4 Fee Schedule'!$D$7:$D$42,MATCH(C40,'Sheet 4 Fee Schedule'!$B$7:$B$42,0))</f>
        <v>3.3699999999999997</v>
      </c>
    </row>
    <row r="41" spans="2:4" ht="18" customHeight="1">
      <c r="B41" s="1051"/>
      <c r="C41" s="949" t="str">
        <f>+'Sheet 4 Fee Schedule'!B42</f>
        <v>Coloured Glass</v>
      </c>
      <c r="D41" s="950">
        <f>+INDEX('Sheet 4 Fee Schedule'!$D$7:$D$42,MATCH(C41,'Sheet 4 Fee Schedule'!$B$7:$B$42,0))</f>
        <v>3.65</v>
      </c>
    </row>
  </sheetData>
  <sheetProtection password="D6C3" sheet="1"/>
  <mergeCells count="8">
    <mergeCell ref="B40:B41"/>
    <mergeCell ref="B36:B38"/>
    <mergeCell ref="B32:B34"/>
    <mergeCell ref="C3:C4"/>
    <mergeCell ref="B3:B4"/>
    <mergeCell ref="B18:B30"/>
    <mergeCell ref="B12:B16"/>
    <mergeCell ref="B6:B10"/>
  </mergeCells>
  <printOptions/>
  <pageMargins left="0.7480314960629921" right="0.7480314960629921" top="0.984251968503937" bottom="0.984251968503937" header="0.5118110236220472" footer="0.5118110236220472"/>
  <pageSetup fitToHeight="1" fitToWidth="1" horizontalDpi="600" verticalDpi="600" orientation="portrait" scale="87" r:id="rId1"/>
  <headerFooter alignWithMargins="0">
    <oddFooter>&amp;L&amp;12Steward Fee-Setting&amp;R&amp;12Stewardship Ontario, 
July, 2013</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O120"/>
  <sheetViews>
    <sheetView zoomScale="70" zoomScaleNormal="70" zoomScalePageLayoutView="0" workbookViewId="0" topLeftCell="A1">
      <pane xSplit="8" ySplit="8" topLeftCell="I9" activePane="bottomRight" state="frozen"/>
      <selection pane="topLeft" activeCell="A10" sqref="A10:C20"/>
      <selection pane="topRight" activeCell="A10" sqref="A10:C20"/>
      <selection pane="bottomLeft" activeCell="A10" sqref="A10:C20"/>
      <selection pane="bottomRight" activeCell="I9" sqref="I9"/>
    </sheetView>
  </sheetViews>
  <sheetFormatPr defaultColWidth="9.140625" defaultRowHeight="18" customHeight="1" outlineLevelCol="1"/>
  <cols>
    <col min="1" max="1" width="37.00390625" style="367" customWidth="1"/>
    <col min="2" max="8" width="21.421875" style="367" hidden="1" customWidth="1" outlineLevel="1"/>
    <col min="9" max="9" width="21.421875" style="367" customWidth="1" collapsed="1"/>
    <col min="10" max="14" width="21.421875" style="367" customWidth="1"/>
    <col min="16" max="16384" width="9.140625" style="367" customWidth="1"/>
  </cols>
  <sheetData>
    <row r="1" spans="1:3" s="768" customFormat="1" ht="31.5" customHeight="1">
      <c r="A1" s="831" t="s">
        <v>190</v>
      </c>
      <c r="B1" s="810"/>
      <c r="C1" s="810"/>
    </row>
    <row r="2" spans="1:3" s="768" customFormat="1" ht="21" customHeight="1">
      <c r="A2" s="810"/>
      <c r="B2" s="810"/>
      <c r="C2" s="810"/>
    </row>
    <row r="3" spans="1:3" s="768" customFormat="1" ht="21" customHeight="1">
      <c r="A3" s="916" t="s">
        <v>105</v>
      </c>
      <c r="B3" s="779"/>
      <c r="C3" s="779"/>
    </row>
    <row r="4" spans="1:14" s="768" customFormat="1" ht="21" customHeight="1">
      <c r="A4" s="779" t="s">
        <v>152</v>
      </c>
      <c r="B4" s="779"/>
      <c r="C4" s="779"/>
      <c r="D4" s="811"/>
      <c r="E4" s="811"/>
      <c r="F4" s="811"/>
      <c r="G4" s="811"/>
      <c r="H4" s="811"/>
      <c r="I4" s="811"/>
      <c r="J4" s="811"/>
      <c r="K4" s="811"/>
      <c r="L4" s="811"/>
      <c r="M4" s="811"/>
      <c r="N4" s="811"/>
    </row>
    <row r="5" spans="1:14" s="768" customFormat="1" ht="21" customHeight="1">
      <c r="A5" s="779" t="s">
        <v>153</v>
      </c>
      <c r="B5" s="779"/>
      <c r="C5" s="779"/>
      <c r="D5" s="811"/>
      <c r="E5" s="811"/>
      <c r="F5" s="811"/>
      <c r="G5" s="811"/>
      <c r="H5" s="811"/>
      <c r="I5" s="811"/>
      <c r="J5" s="811"/>
      <c r="K5" s="811"/>
      <c r="L5" s="811"/>
      <c r="M5" s="811"/>
      <c r="N5" s="811"/>
    </row>
    <row r="6" ht="18" customHeight="1" thickBot="1"/>
    <row r="7" spans="1:14" s="812" customFormat="1" ht="45.75" customHeight="1">
      <c r="A7" s="770" t="s">
        <v>104</v>
      </c>
      <c r="B7" s="820" t="s">
        <v>154</v>
      </c>
      <c r="C7" s="770" t="s">
        <v>155</v>
      </c>
      <c r="D7" s="770" t="s">
        <v>156</v>
      </c>
      <c r="E7" s="770" t="s">
        <v>157</v>
      </c>
      <c r="F7" s="770" t="s">
        <v>158</v>
      </c>
      <c r="G7" s="770" t="s">
        <v>159</v>
      </c>
      <c r="H7" s="770" t="s">
        <v>135</v>
      </c>
      <c r="I7" s="770" t="s">
        <v>139</v>
      </c>
      <c r="J7" s="770" t="s">
        <v>140</v>
      </c>
      <c r="K7" s="770" t="s">
        <v>143</v>
      </c>
      <c r="L7" s="770" t="s">
        <v>151</v>
      </c>
      <c r="M7" s="770" t="s">
        <v>192</v>
      </c>
      <c r="N7" s="770" t="s">
        <v>204</v>
      </c>
    </row>
    <row r="8" spans="1:14" s="812" customFormat="1" ht="15.75" thickBot="1">
      <c r="A8" s="838"/>
      <c r="B8" s="839" t="s">
        <v>17</v>
      </c>
      <c r="C8" s="840" t="s">
        <v>17</v>
      </c>
      <c r="D8" s="840" t="s">
        <v>17</v>
      </c>
      <c r="E8" s="840" t="s">
        <v>17</v>
      </c>
      <c r="F8" s="840" t="s">
        <v>17</v>
      </c>
      <c r="G8" s="840" t="s">
        <v>17</v>
      </c>
      <c r="H8" s="840" t="s">
        <v>17</v>
      </c>
      <c r="I8" s="840" t="s">
        <v>17</v>
      </c>
      <c r="J8" s="840" t="s">
        <v>17</v>
      </c>
      <c r="K8" s="840" t="s">
        <v>17</v>
      </c>
      <c r="L8" s="840" t="s">
        <v>17</v>
      </c>
      <c r="M8" s="840" t="s">
        <v>17</v>
      </c>
      <c r="N8" s="840" t="s">
        <v>17</v>
      </c>
    </row>
    <row r="9" spans="1:15" ht="15">
      <c r="A9" s="917" t="str">
        <f>+'Sheet 4 Fee Schedule'!A7</f>
        <v>Newsprint - CNA/OCNA</v>
      </c>
      <c r="B9" s="910">
        <v>0.28</v>
      </c>
      <c r="C9" s="910">
        <v>0.26</v>
      </c>
      <c r="D9" s="910">
        <v>0.76</v>
      </c>
      <c r="E9" s="910">
        <v>1.82</v>
      </c>
      <c r="F9" s="910">
        <v>1.979799338111835</v>
      </c>
      <c r="G9" s="910">
        <v>1.478071136328613</v>
      </c>
      <c r="H9" s="910">
        <v>1.5418634318364675</v>
      </c>
      <c r="I9" s="910">
        <v>1.7</v>
      </c>
      <c r="J9" s="910">
        <v>2.9000000000000004</v>
      </c>
      <c r="K9" s="910">
        <v>3.3</v>
      </c>
      <c r="L9" s="910">
        <v>4.2</v>
      </c>
      <c r="M9" s="910">
        <v>3</v>
      </c>
      <c r="N9" s="813">
        <f>+'Sheet 4 Fee Schedule'!D7*1000/100</f>
        <v>3.8</v>
      </c>
      <c r="O9" s="367"/>
    </row>
    <row r="10" spans="1:15" ht="15">
      <c r="A10" s="917" t="str">
        <f>+'Sheet 4 Fee Schedule'!A8</f>
        <v>Newsprint - Non-CNA/OCNA</v>
      </c>
      <c r="B10" s="910">
        <v>0.28</v>
      </c>
      <c r="C10" s="910">
        <v>0.26</v>
      </c>
      <c r="D10" s="910">
        <v>7.86</v>
      </c>
      <c r="E10" s="910">
        <v>7.33189299419214</v>
      </c>
      <c r="F10" s="910">
        <v>6.742588963340355</v>
      </c>
      <c r="G10" s="910">
        <v>7.638253904580368</v>
      </c>
      <c r="H10" s="910">
        <v>13.460826036568722</v>
      </c>
      <c r="I10" s="910">
        <v>7.1</v>
      </c>
      <c r="J10" s="910">
        <v>11.2</v>
      </c>
      <c r="K10" s="910">
        <v>20.199999999999996</v>
      </c>
      <c r="L10" s="910">
        <v>36.199999999999996</v>
      </c>
      <c r="M10" s="910">
        <v>41.8</v>
      </c>
      <c r="N10" s="813">
        <f>+'Sheet 4 Fee Schedule'!D8*1000/100</f>
        <v>47.2</v>
      </c>
      <c r="O10" s="367"/>
    </row>
    <row r="11" spans="1:15" ht="15">
      <c r="A11" s="917" t="str">
        <f>+'Sheet 4 Fee Schedule'!A9</f>
        <v>Magazines and Catalogues</v>
      </c>
      <c r="B11" s="910">
        <v>0.81</v>
      </c>
      <c r="C11" s="910">
        <v>3.1</v>
      </c>
      <c r="D11" s="910">
        <v>8.62</v>
      </c>
      <c r="E11" s="910">
        <v>14.80554348602006</v>
      </c>
      <c r="F11" s="910">
        <v>18.401472742575557</v>
      </c>
      <c r="G11" s="910">
        <v>21.824292805857553</v>
      </c>
      <c r="H11" s="910">
        <v>33.73381813204801</v>
      </c>
      <c r="I11" s="910">
        <v>19.7</v>
      </c>
      <c r="J11" s="910">
        <v>24.8</v>
      </c>
      <c r="K11" s="910">
        <v>54.5</v>
      </c>
      <c r="L11" s="910">
        <v>64.7</v>
      </c>
      <c r="M11" s="910">
        <v>67.4</v>
      </c>
      <c r="N11" s="813">
        <f>+'Sheet 4 Fee Schedule'!D9*1000/100</f>
        <v>77.4</v>
      </c>
      <c r="O11" s="367"/>
    </row>
    <row r="12" spans="1:15" ht="15">
      <c r="A12" s="917" t="str">
        <f>+'Sheet 4 Fee Schedule'!A10</f>
        <v>Telephone Books</v>
      </c>
      <c r="B12" s="910">
        <v>0.81</v>
      </c>
      <c r="C12" s="910">
        <v>6.87</v>
      </c>
      <c r="D12" s="910">
        <v>13.02</v>
      </c>
      <c r="E12" s="910">
        <v>11.895464629483744</v>
      </c>
      <c r="F12" s="910">
        <v>18.401472742575557</v>
      </c>
      <c r="G12" s="910">
        <v>21.824292805857553</v>
      </c>
      <c r="H12" s="910">
        <v>33.73381813204801</v>
      </c>
      <c r="I12" s="910">
        <v>19.7</v>
      </c>
      <c r="J12" s="910">
        <v>24.8</v>
      </c>
      <c r="K12" s="910">
        <v>54.5</v>
      </c>
      <c r="L12" s="910">
        <v>66.4</v>
      </c>
      <c r="M12" s="910">
        <v>64.6</v>
      </c>
      <c r="N12" s="813">
        <f>+'Sheet 4 Fee Schedule'!D10*1000/100</f>
        <v>75.4</v>
      </c>
      <c r="O12" s="367"/>
    </row>
    <row r="13" spans="1:15" ht="15">
      <c r="A13" s="917" t="str">
        <f>+'Sheet 4 Fee Schedule'!A11</f>
        <v>Other Printed Paper</v>
      </c>
      <c r="B13" s="910">
        <v>2.51</v>
      </c>
      <c r="C13" s="910">
        <v>13.18</v>
      </c>
      <c r="D13" s="910">
        <v>90.29</v>
      </c>
      <c r="E13" s="910">
        <v>79.59753115094605</v>
      </c>
      <c r="F13" s="910">
        <v>18.401472742575557</v>
      </c>
      <c r="G13" s="910">
        <v>21.824292805857553</v>
      </c>
      <c r="H13" s="910">
        <v>33.73381813204801</v>
      </c>
      <c r="I13" s="910">
        <v>19.7</v>
      </c>
      <c r="J13" s="910">
        <v>24.8</v>
      </c>
      <c r="K13" s="910">
        <v>54.5</v>
      </c>
      <c r="L13" s="910">
        <v>99.9</v>
      </c>
      <c r="M13" s="910">
        <v>122.9</v>
      </c>
      <c r="N13" s="813">
        <f>+'Sheet 4 Fee Schedule'!D11*1000/100</f>
        <v>160</v>
      </c>
      <c r="O13" s="367"/>
    </row>
    <row r="14" spans="1:15" ht="15">
      <c r="A14" s="918"/>
      <c r="B14" s="911"/>
      <c r="C14" s="911"/>
      <c r="D14" s="911"/>
      <c r="E14" s="911"/>
      <c r="F14" s="911"/>
      <c r="G14" s="911"/>
      <c r="H14" s="911"/>
      <c r="I14" s="911"/>
      <c r="J14" s="911"/>
      <c r="K14" s="911"/>
      <c r="L14" s="911"/>
      <c r="M14" s="911"/>
      <c r="N14" s="814"/>
      <c r="O14" s="367"/>
    </row>
    <row r="15" spans="1:15" ht="15">
      <c r="A15" s="917" t="str">
        <f>+'Sheet 4 Fee Schedule'!A13</f>
        <v>Corrugated Cardboard</v>
      </c>
      <c r="B15" s="910">
        <v>47.28</v>
      </c>
      <c r="C15" s="910">
        <v>59.87</v>
      </c>
      <c r="D15" s="910">
        <v>79.04</v>
      </c>
      <c r="E15" s="910">
        <v>76.72544671319383</v>
      </c>
      <c r="F15" s="910">
        <v>71.65715999360948</v>
      </c>
      <c r="G15" s="910">
        <v>72.51641775723046</v>
      </c>
      <c r="H15" s="910">
        <v>80.20087024775773</v>
      </c>
      <c r="I15" s="910">
        <v>78.1</v>
      </c>
      <c r="J15" s="910">
        <v>77</v>
      </c>
      <c r="K15" s="910">
        <v>114.48524813645756</v>
      </c>
      <c r="L15" s="910">
        <v>83.9</v>
      </c>
      <c r="M15" s="910">
        <v>81</v>
      </c>
      <c r="N15" s="813">
        <f>+'Sheet 4 Fee Schedule'!D13*1000/100</f>
        <v>84.59999999999998</v>
      </c>
      <c r="O15" s="367"/>
    </row>
    <row r="16" spans="1:15" ht="15">
      <c r="A16" s="917" t="str">
        <f>+'Sheet 4 Fee Schedule'!A14</f>
        <v>Boxboard</v>
      </c>
      <c r="B16" s="910">
        <v>47.28</v>
      </c>
      <c r="C16" s="910">
        <v>59.87</v>
      </c>
      <c r="D16" s="910">
        <v>79.04</v>
      </c>
      <c r="E16" s="910">
        <v>76.72544671319383</v>
      </c>
      <c r="F16" s="910">
        <v>71.65715999360948</v>
      </c>
      <c r="G16" s="910">
        <v>72.51641775723046</v>
      </c>
      <c r="H16" s="910">
        <v>80.20087024775773</v>
      </c>
      <c r="I16" s="910">
        <v>78.1</v>
      </c>
      <c r="J16" s="910">
        <v>77</v>
      </c>
      <c r="K16" s="910">
        <v>93.369105045682</v>
      </c>
      <c r="L16" s="910">
        <v>83.9</v>
      </c>
      <c r="M16" s="910">
        <v>81</v>
      </c>
      <c r="N16" s="813">
        <f>+'Sheet 4 Fee Schedule'!D14*1000/100</f>
        <v>84.59999999999998</v>
      </c>
      <c r="O16" s="367"/>
    </row>
    <row r="17" spans="1:15" ht="15">
      <c r="A17" s="917" t="str">
        <f>+'Sheet 4 Fee Schedule'!A15</f>
        <v>Gable Top Cartons</v>
      </c>
      <c r="B17" s="910">
        <v>47.28</v>
      </c>
      <c r="C17" s="910">
        <v>59.87</v>
      </c>
      <c r="D17" s="910">
        <v>79.04</v>
      </c>
      <c r="E17" s="910">
        <v>76.72544671319383</v>
      </c>
      <c r="F17" s="910">
        <v>100.55331036250215</v>
      </c>
      <c r="G17" s="910">
        <v>125.34432015022884</v>
      </c>
      <c r="H17" s="910">
        <v>135.08362386516842</v>
      </c>
      <c r="I17" s="910">
        <v>196.5</v>
      </c>
      <c r="J17" s="910">
        <v>237.5</v>
      </c>
      <c r="K17" s="910">
        <v>187.6</v>
      </c>
      <c r="L17" s="910">
        <v>182.20000000000005</v>
      </c>
      <c r="M17" s="910">
        <v>181.9</v>
      </c>
      <c r="N17" s="813">
        <f>+'Sheet 4 Fee Schedule'!D15*1000/100</f>
        <v>212.90000000000003</v>
      </c>
      <c r="O17" s="367"/>
    </row>
    <row r="18" spans="1:15" ht="15">
      <c r="A18" s="917" t="str">
        <f>+'Sheet 4 Fee Schedule'!A16</f>
        <v>Paper Laminates</v>
      </c>
      <c r="B18" s="910">
        <v>47.28</v>
      </c>
      <c r="C18" s="910">
        <v>59.87</v>
      </c>
      <c r="D18" s="910">
        <v>79.04</v>
      </c>
      <c r="E18" s="910">
        <v>76.72544671319383</v>
      </c>
      <c r="F18" s="910">
        <v>100.55331036250215</v>
      </c>
      <c r="G18" s="910">
        <v>125.34432015022884</v>
      </c>
      <c r="H18" s="910">
        <v>135.08362386516842</v>
      </c>
      <c r="I18" s="910">
        <v>196.5</v>
      </c>
      <c r="J18" s="910">
        <v>237.5</v>
      </c>
      <c r="K18" s="910">
        <v>187.6</v>
      </c>
      <c r="L18" s="910">
        <v>182.20000000000005</v>
      </c>
      <c r="M18" s="910">
        <v>181.9</v>
      </c>
      <c r="N18" s="813">
        <f>+'Sheet 4 Fee Schedule'!D16*1000/100</f>
        <v>212.90000000000003</v>
      </c>
      <c r="O18" s="367"/>
    </row>
    <row r="19" spans="1:15" ht="15">
      <c r="A19" s="917" t="str">
        <f>+'Sheet 4 Fee Schedule'!A17</f>
        <v>Aseptic Containers</v>
      </c>
      <c r="B19" s="910">
        <v>47.28</v>
      </c>
      <c r="C19" s="910">
        <v>59.87</v>
      </c>
      <c r="D19" s="910">
        <v>79.04</v>
      </c>
      <c r="E19" s="910">
        <v>76.72544671319383</v>
      </c>
      <c r="F19" s="910">
        <v>100.55331036250215</v>
      </c>
      <c r="G19" s="910">
        <v>125.34432015022884</v>
      </c>
      <c r="H19" s="910">
        <v>135.08362386516842</v>
      </c>
      <c r="I19" s="910">
        <v>196.5</v>
      </c>
      <c r="J19" s="910">
        <v>237.5</v>
      </c>
      <c r="K19" s="910">
        <v>187.6</v>
      </c>
      <c r="L19" s="910">
        <v>182.20000000000005</v>
      </c>
      <c r="M19" s="910">
        <v>181.9</v>
      </c>
      <c r="N19" s="813">
        <f>+'Sheet 4 Fee Schedule'!D17*1000/100</f>
        <v>212.90000000000003</v>
      </c>
      <c r="O19" s="367"/>
    </row>
    <row r="20" spans="1:15" ht="15">
      <c r="A20" s="918"/>
      <c r="B20" s="911"/>
      <c r="C20" s="911"/>
      <c r="D20" s="911"/>
      <c r="E20" s="911"/>
      <c r="F20" s="911"/>
      <c r="G20" s="911"/>
      <c r="H20" s="911"/>
      <c r="I20" s="911"/>
      <c r="J20" s="911"/>
      <c r="K20" s="911"/>
      <c r="L20" s="911"/>
      <c r="M20" s="911"/>
      <c r="N20" s="814"/>
      <c r="O20" s="367"/>
    </row>
    <row r="21" spans="1:15" ht="15">
      <c r="A21" s="917" t="str">
        <f>+'Sheet 4 Fee Schedule'!A19</f>
        <v>PET Bottles</v>
      </c>
      <c r="B21" s="910">
        <v>66.92</v>
      </c>
      <c r="C21" s="910">
        <v>96.1</v>
      </c>
      <c r="D21" s="910">
        <v>139.07</v>
      </c>
      <c r="E21" s="910">
        <v>135.55549560358926</v>
      </c>
      <c r="F21" s="910">
        <v>116.44484070604007</v>
      </c>
      <c r="G21" s="910">
        <v>112.37744395249348</v>
      </c>
      <c r="H21" s="910">
        <v>124.84027705283846</v>
      </c>
      <c r="I21" s="910">
        <v>129.8</v>
      </c>
      <c r="J21" s="910">
        <v>137.8</v>
      </c>
      <c r="K21" s="910">
        <v>162.4</v>
      </c>
      <c r="L21" s="910">
        <v>147</v>
      </c>
      <c r="M21" s="910">
        <v>140.2</v>
      </c>
      <c r="N21" s="813">
        <f>+'Sheet 4 Fee Schedule'!D19*1000/100</f>
        <v>151.9</v>
      </c>
      <c r="O21" s="367"/>
    </row>
    <row r="22" spans="1:15" ht="15">
      <c r="A22" s="917" t="str">
        <f>+'Sheet 4 Fee Schedule'!A21</f>
        <v>HDPE Bottles</v>
      </c>
      <c r="B22" s="910">
        <v>66.92</v>
      </c>
      <c r="C22" s="910">
        <v>96.1</v>
      </c>
      <c r="D22" s="910">
        <v>139.07</v>
      </c>
      <c r="E22" s="910">
        <v>135.55549560358926</v>
      </c>
      <c r="F22" s="910">
        <v>99.28814165840889</v>
      </c>
      <c r="G22" s="910">
        <v>111.34854100248793</v>
      </c>
      <c r="H22" s="910">
        <v>113.71795639706075</v>
      </c>
      <c r="I22" s="910">
        <v>124.9</v>
      </c>
      <c r="J22" s="910">
        <v>132.7</v>
      </c>
      <c r="K22" s="910">
        <v>136</v>
      </c>
      <c r="L22" s="910">
        <v>135.2</v>
      </c>
      <c r="M22" s="910">
        <v>126.2</v>
      </c>
      <c r="N22" s="813">
        <f>+'Sheet 4 Fee Schedule'!D21*1000/100</f>
        <v>131.2</v>
      </c>
      <c r="O22" s="367"/>
    </row>
    <row r="23" spans="1:15" ht="15">
      <c r="A23" s="917" t="str">
        <f>+'Sheet 4 Fee Schedule'!A23</f>
        <v>Plastic Film</v>
      </c>
      <c r="B23" s="910">
        <v>66.92</v>
      </c>
      <c r="C23" s="910">
        <v>96.1</v>
      </c>
      <c r="D23" s="910">
        <v>139.07</v>
      </c>
      <c r="E23" s="910">
        <v>135.55549560358926</v>
      </c>
      <c r="F23" s="910">
        <v>147.20437670271855</v>
      </c>
      <c r="G23" s="910">
        <v>184.48623410160064</v>
      </c>
      <c r="H23" s="910">
        <v>190.26836732120478</v>
      </c>
      <c r="I23" s="910">
        <v>246.5</v>
      </c>
      <c r="J23" s="910">
        <v>281.6</v>
      </c>
      <c r="K23" s="910">
        <v>272.3</v>
      </c>
      <c r="L23" s="910">
        <v>232.70000000000005</v>
      </c>
      <c r="M23" s="910">
        <v>225.40000000000003</v>
      </c>
      <c r="N23" s="813">
        <f>+'Sheet 4 Fee Schedule'!D23*1000/100</f>
        <v>281</v>
      </c>
      <c r="O23" s="367"/>
    </row>
    <row r="24" spans="1:15" ht="15">
      <c r="A24" s="917" t="str">
        <f>+'Sheet 4 Fee Schedule'!A25</f>
        <v>Plastic Laminates</v>
      </c>
      <c r="B24" s="910">
        <v>66.92</v>
      </c>
      <c r="C24" s="910">
        <v>96.1</v>
      </c>
      <c r="D24" s="910">
        <v>139.07</v>
      </c>
      <c r="E24" s="910">
        <v>135.55549560358926</v>
      </c>
      <c r="F24" s="910">
        <v>147.20437670271855</v>
      </c>
      <c r="G24" s="910">
        <v>184.48623410160064</v>
      </c>
      <c r="H24" s="910">
        <v>190.26836732120478</v>
      </c>
      <c r="I24" s="910">
        <v>246.5</v>
      </c>
      <c r="J24" s="910">
        <v>281.6</v>
      </c>
      <c r="K24" s="910">
        <v>272.3</v>
      </c>
      <c r="L24" s="910">
        <v>232.70000000000005</v>
      </c>
      <c r="M24" s="910">
        <v>225.40000000000003</v>
      </c>
      <c r="N24" s="813">
        <f>+'Sheet 4 Fee Schedule'!D25*1000/100</f>
        <v>281</v>
      </c>
      <c r="O24" s="367"/>
    </row>
    <row r="25" spans="1:15" ht="15">
      <c r="A25" s="917" t="str">
        <f>+'Sheet 4 Fee Schedule'!A26</f>
        <v>Polystyrene</v>
      </c>
      <c r="B25" s="910">
        <v>66.92</v>
      </c>
      <c r="C25" s="910">
        <v>96.1</v>
      </c>
      <c r="D25" s="910">
        <v>139.07</v>
      </c>
      <c r="E25" s="910">
        <v>135.55549560358926</v>
      </c>
      <c r="F25" s="910">
        <v>147.20437670271855</v>
      </c>
      <c r="G25" s="910">
        <v>184.48623410160064</v>
      </c>
      <c r="H25" s="910">
        <v>190.26836732120478</v>
      </c>
      <c r="I25" s="910">
        <v>246.5</v>
      </c>
      <c r="J25" s="910">
        <v>281.6</v>
      </c>
      <c r="K25" s="910">
        <v>272.3</v>
      </c>
      <c r="L25" s="910">
        <v>232.70000000000005</v>
      </c>
      <c r="M25" s="910">
        <v>225.40000000000003</v>
      </c>
      <c r="N25" s="813">
        <f>+'Sheet 4 Fee Schedule'!D26*1000/100</f>
        <v>281</v>
      </c>
      <c r="O25" s="367"/>
    </row>
    <row r="26" spans="1:15" ht="15">
      <c r="A26" s="917" t="str">
        <f>+'Sheet 4 Fee Schedule'!A28</f>
        <v>Other Plastics</v>
      </c>
      <c r="B26" s="910">
        <v>66.92</v>
      </c>
      <c r="C26" s="910">
        <v>96.1</v>
      </c>
      <c r="D26" s="910">
        <v>139.07</v>
      </c>
      <c r="E26" s="910">
        <v>135.55549560358926</v>
      </c>
      <c r="F26" s="910">
        <v>147.20437670271855</v>
      </c>
      <c r="G26" s="910">
        <v>184.48623410160064</v>
      </c>
      <c r="H26" s="910">
        <v>190.26836732120478</v>
      </c>
      <c r="I26" s="910">
        <v>246.5</v>
      </c>
      <c r="J26" s="910">
        <v>281.6</v>
      </c>
      <c r="K26" s="910">
        <v>293.217403265496</v>
      </c>
      <c r="L26" s="910">
        <v>232.70000000000005</v>
      </c>
      <c r="M26" s="910">
        <v>225.40000000000003</v>
      </c>
      <c r="N26" s="813">
        <f>+'Sheet 4 Fee Schedule'!D28*1000/100</f>
        <v>281</v>
      </c>
      <c r="O26" s="367"/>
    </row>
    <row r="27" spans="1:15" ht="15">
      <c r="A27" s="918"/>
      <c r="B27" s="911"/>
      <c r="C27" s="911"/>
      <c r="D27" s="911"/>
      <c r="E27" s="911"/>
      <c r="F27" s="911"/>
      <c r="G27" s="911"/>
      <c r="H27" s="911"/>
      <c r="I27" s="911"/>
      <c r="J27" s="911"/>
      <c r="K27" s="911"/>
      <c r="L27" s="911"/>
      <c r="M27" s="911"/>
      <c r="N27" s="814"/>
      <c r="O27" s="367"/>
    </row>
    <row r="28" spans="1:15" ht="15">
      <c r="A28" s="917" t="str">
        <f>+'Sheet 4 Fee Schedule'!A33</f>
        <v>Steel Food &amp; Beverage Cans</v>
      </c>
      <c r="B28" s="910">
        <v>36.33</v>
      </c>
      <c r="C28" s="910">
        <v>43.91</v>
      </c>
      <c r="D28" s="910">
        <v>47.45</v>
      </c>
      <c r="E28" s="910">
        <v>46.012677353665175</v>
      </c>
      <c r="F28" s="910">
        <v>43.979181803223526</v>
      </c>
      <c r="G28" s="910">
        <v>47.4363670769528</v>
      </c>
      <c r="H28" s="910">
        <v>49.98391473422041</v>
      </c>
      <c r="I28" s="910">
        <v>55.4</v>
      </c>
      <c r="J28" s="910">
        <v>62.6</v>
      </c>
      <c r="K28" s="910">
        <v>60.69999999999999</v>
      </c>
      <c r="L28" s="910">
        <v>55.1</v>
      </c>
      <c r="M28" s="910">
        <v>50.6</v>
      </c>
      <c r="N28" s="813">
        <f>+'Sheet 4 Fee Schedule'!D33*1000/100</f>
        <v>57.7</v>
      </c>
      <c r="O28" s="367"/>
    </row>
    <row r="29" spans="1:15" ht="15">
      <c r="A29" s="917" t="str">
        <f>+'Sheet 4 Fee Schedule'!A34</f>
        <v>Steel Aerosols</v>
      </c>
      <c r="B29" s="910">
        <v>36.33</v>
      </c>
      <c r="C29" s="910">
        <v>43.91</v>
      </c>
      <c r="D29" s="910">
        <v>47.45</v>
      </c>
      <c r="E29" s="910">
        <v>46.012677353665175</v>
      </c>
      <c r="F29" s="910">
        <v>43.979181803223526</v>
      </c>
      <c r="G29" s="910">
        <v>47.4363670769528</v>
      </c>
      <c r="H29" s="910">
        <v>49.98391473422041</v>
      </c>
      <c r="I29" s="910">
        <v>55.4</v>
      </c>
      <c r="J29" s="910">
        <v>62.6</v>
      </c>
      <c r="K29" s="910">
        <v>60.69999999999999</v>
      </c>
      <c r="L29" s="910">
        <v>55.1</v>
      </c>
      <c r="M29" s="910">
        <v>50.6</v>
      </c>
      <c r="N29" s="813">
        <f>+'Sheet 4 Fee Schedule'!D34*1000/100</f>
        <v>57.7</v>
      </c>
      <c r="O29" s="367"/>
    </row>
    <row r="30" spans="1:15" ht="15">
      <c r="A30" s="917" t="str">
        <f>+'Sheet 4 Fee Schedule'!A35</f>
        <v>Steel Paint Cans</v>
      </c>
      <c r="B30" s="910">
        <v>36.33</v>
      </c>
      <c r="C30" s="910">
        <v>43.91</v>
      </c>
      <c r="D30" s="910">
        <v>47.45</v>
      </c>
      <c r="E30" s="910">
        <v>46.012677353665175</v>
      </c>
      <c r="F30" s="910">
        <v>43.979181803223526</v>
      </c>
      <c r="G30" s="910">
        <v>47.4363670769528</v>
      </c>
      <c r="H30" s="910">
        <v>49.98391473422041</v>
      </c>
      <c r="I30" s="910">
        <v>55.4</v>
      </c>
      <c r="J30" s="910">
        <v>62.6</v>
      </c>
      <c r="K30" s="910">
        <v>60.69999999999999</v>
      </c>
      <c r="L30" s="910">
        <v>55.1</v>
      </c>
      <c r="M30" s="910">
        <v>50.6</v>
      </c>
      <c r="N30" s="813">
        <f>+'Sheet 4 Fee Schedule'!D35*1000/100</f>
        <v>57.7</v>
      </c>
      <c r="O30" s="367"/>
    </row>
    <row r="31" spans="1:15" ht="15">
      <c r="A31" s="918"/>
      <c r="B31" s="911"/>
      <c r="C31" s="911"/>
      <c r="D31" s="911"/>
      <c r="E31" s="911"/>
      <c r="F31" s="911"/>
      <c r="G31" s="911"/>
      <c r="H31" s="911"/>
      <c r="I31" s="911"/>
      <c r="J31" s="911"/>
      <c r="K31" s="911"/>
      <c r="L31" s="911"/>
      <c r="M31" s="911"/>
      <c r="N31" s="814"/>
      <c r="O31" s="367"/>
    </row>
    <row r="32" spans="1:15" ht="15">
      <c r="A32" s="917" t="str">
        <f>+'Sheet 4 Fee Schedule'!A37</f>
        <v>Aluminum Food &amp; Beverage Cans</v>
      </c>
      <c r="B32" s="910">
        <v>-57.6658376322474</v>
      </c>
      <c r="C32" s="910">
        <v>-35.78</v>
      </c>
      <c r="D32" s="910">
        <v>-10.93</v>
      </c>
      <c r="E32" s="910">
        <v>-4.764947496477933</v>
      </c>
      <c r="F32" s="910">
        <v>-18.631222727235745</v>
      </c>
      <c r="G32" s="910">
        <v>-22.15278870253392</v>
      </c>
      <c r="H32" s="910">
        <v>-29.836865039925833</v>
      </c>
      <c r="I32" s="910">
        <v>-22</v>
      </c>
      <c r="J32" s="910">
        <v>5.2</v>
      </c>
      <c r="K32" s="910">
        <v>20</v>
      </c>
      <c r="L32" s="910">
        <v>25.599999999999994</v>
      </c>
      <c r="M32" s="910">
        <v>17.7</v>
      </c>
      <c r="N32" s="813">
        <f>+'Sheet 4 Fee Schedule'!D37*1000/100</f>
        <v>39.8</v>
      </c>
      <c r="O32" s="367"/>
    </row>
    <row r="33" spans="1:15" ht="15">
      <c r="A33" s="917" t="str">
        <f>+'Sheet 4 Fee Schedule'!A38</f>
        <v>Other Aluminum Packaging</v>
      </c>
      <c r="B33" s="910">
        <v>-34.0987586092101</v>
      </c>
      <c r="C33" s="910">
        <v>16.18</v>
      </c>
      <c r="D33" s="910">
        <v>55.02</v>
      </c>
      <c r="E33" s="910">
        <v>35.76863819998456</v>
      </c>
      <c r="F33" s="910">
        <v>58.626861865452575</v>
      </c>
      <c r="G33" s="910">
        <v>50.95339436536893</v>
      </c>
      <c r="H33" s="910">
        <v>59.2060316177282</v>
      </c>
      <c r="I33" s="910">
        <v>13.9</v>
      </c>
      <c r="J33" s="910">
        <v>75</v>
      </c>
      <c r="K33" s="910">
        <v>84.1</v>
      </c>
      <c r="L33" s="910">
        <v>69.7</v>
      </c>
      <c r="M33" s="910">
        <v>65.69999999999999</v>
      </c>
      <c r="N33" s="813">
        <f>+'Sheet 4 Fee Schedule'!D38*1000/100</f>
        <v>85.49999999999999</v>
      </c>
      <c r="O33" s="367"/>
    </row>
    <row r="34" spans="1:15" ht="15">
      <c r="A34" s="918"/>
      <c r="B34" s="911"/>
      <c r="C34" s="911"/>
      <c r="D34" s="911"/>
      <c r="E34" s="911"/>
      <c r="F34" s="911"/>
      <c r="G34" s="911"/>
      <c r="H34" s="911"/>
      <c r="I34" s="911"/>
      <c r="J34" s="911"/>
      <c r="K34" s="911"/>
      <c r="L34" s="911"/>
      <c r="M34" s="911"/>
      <c r="N34" s="814"/>
      <c r="O34" s="367"/>
    </row>
    <row r="35" spans="1:15" ht="15">
      <c r="A35" s="917" t="str">
        <f>+'Sheet 4 Fee Schedule'!A41</f>
        <v>Clear Glass</v>
      </c>
      <c r="B35" s="910">
        <v>37.23</v>
      </c>
      <c r="C35" s="910">
        <v>36.82</v>
      </c>
      <c r="D35" s="910">
        <v>37.61</v>
      </c>
      <c r="E35" s="910">
        <v>33.09389591339549</v>
      </c>
      <c r="F35" s="910">
        <v>35.9646386862942</v>
      </c>
      <c r="G35" s="910">
        <v>35.2937202783169</v>
      </c>
      <c r="H35" s="910">
        <v>34.61226032585347</v>
      </c>
      <c r="I35" s="910">
        <v>38</v>
      </c>
      <c r="J35" s="910">
        <v>36.9</v>
      </c>
      <c r="K35" s="910">
        <v>32.699999999999996</v>
      </c>
      <c r="L35" s="910">
        <v>28.4</v>
      </c>
      <c r="M35" s="910">
        <v>27.1</v>
      </c>
      <c r="N35" s="813">
        <f>+'Sheet 4 Fee Schedule'!D41*1000/100</f>
        <v>33.699999999999996</v>
      </c>
      <c r="O35" s="367"/>
    </row>
    <row r="36" spans="1:15" ht="15">
      <c r="A36" s="917" t="str">
        <f>+'Sheet 4 Fee Schedule'!A42</f>
        <v>Coloured Glass</v>
      </c>
      <c r="B36" s="910">
        <v>40.16</v>
      </c>
      <c r="C36" s="910">
        <v>39.16</v>
      </c>
      <c r="D36" s="910">
        <v>44.32</v>
      </c>
      <c r="E36" s="910">
        <v>36.02415673609086</v>
      </c>
      <c r="F36" s="910">
        <v>40.76751128855327</v>
      </c>
      <c r="G36" s="910">
        <v>39.76028107810004</v>
      </c>
      <c r="H36" s="910">
        <v>43.43895222844472</v>
      </c>
      <c r="I36" s="910">
        <v>41</v>
      </c>
      <c r="J36" s="910">
        <v>53.5</v>
      </c>
      <c r="K36" s="910">
        <v>38.3</v>
      </c>
      <c r="L36" s="910">
        <v>48.4</v>
      </c>
      <c r="M36" s="910">
        <v>43.599999999999994</v>
      </c>
      <c r="N36" s="813">
        <f>+'Sheet 4 Fee Schedule'!D42*1000/100</f>
        <v>36.5</v>
      </c>
      <c r="O36" s="367"/>
    </row>
    <row r="37" spans="1:15" ht="15.75" thickBot="1">
      <c r="A37" s="919"/>
      <c r="B37" s="912"/>
      <c r="C37" s="912"/>
      <c r="D37" s="912"/>
      <c r="E37" s="912"/>
      <c r="F37" s="912"/>
      <c r="G37" s="912"/>
      <c r="H37" s="912"/>
      <c r="I37" s="912"/>
      <c r="J37" s="912"/>
      <c r="K37" s="912"/>
      <c r="L37" s="912"/>
      <c r="M37" s="912"/>
      <c r="N37" s="815"/>
      <c r="O37" s="367"/>
    </row>
    <row r="38" spans="1:15" s="779" customFormat="1" ht="15">
      <c r="A38" s="920"/>
      <c r="B38" s="913"/>
      <c r="C38" s="913"/>
      <c r="D38" s="914"/>
      <c r="E38" s="913"/>
      <c r="F38" s="913"/>
      <c r="G38" s="913"/>
      <c r="H38" s="913"/>
      <c r="I38" s="913"/>
      <c r="J38" s="913"/>
      <c r="K38" s="913"/>
      <c r="L38" s="913"/>
      <c r="M38" s="913"/>
      <c r="O38" s="367"/>
    </row>
    <row r="39" spans="1:15" ht="15">
      <c r="A39" s="921" t="s">
        <v>124</v>
      </c>
      <c r="B39" s="915">
        <v>0.4</v>
      </c>
      <c r="C39" s="915">
        <v>2.15</v>
      </c>
      <c r="D39" s="915">
        <v>7.1</v>
      </c>
      <c r="E39" s="915">
        <v>5.47</v>
      </c>
      <c r="F39" s="915">
        <v>5.034395037545164</v>
      </c>
      <c r="G39" s="915">
        <v>6.774244033799564</v>
      </c>
      <c r="H39" s="915">
        <v>13.376036955718739</v>
      </c>
      <c r="I39" s="915">
        <v>5.979961570004998</v>
      </c>
      <c r="J39" s="915">
        <v>9.9</v>
      </c>
      <c r="K39" s="915">
        <v>18.8</v>
      </c>
      <c r="L39" s="915">
        <v>34.3</v>
      </c>
      <c r="M39" s="915">
        <v>39.6</v>
      </c>
      <c r="N39" s="817">
        <f>+'Sheet 4 Fee Schedule'!I7*1000/100</f>
        <v>47.1</v>
      </c>
      <c r="O39" s="367"/>
    </row>
    <row r="40" ht="12.75">
      <c r="O40" s="367"/>
    </row>
    <row r="41" ht="12.75">
      <c r="O41" s="367"/>
    </row>
    <row r="42" ht="12.75">
      <c r="O42" s="367"/>
    </row>
    <row r="43" ht="12.75">
      <c r="O43" s="367"/>
    </row>
    <row r="44" ht="12.75">
      <c r="O44" s="367"/>
    </row>
    <row r="45" ht="12.75">
      <c r="O45" s="367"/>
    </row>
    <row r="46" ht="12.75">
      <c r="O46" s="367"/>
    </row>
    <row r="47" ht="12.75">
      <c r="O47" s="367"/>
    </row>
    <row r="48" ht="12.75">
      <c r="O48" s="367"/>
    </row>
    <row r="49" ht="12.75">
      <c r="O49" s="367"/>
    </row>
    <row r="50" ht="12.75">
      <c r="O50" s="367"/>
    </row>
    <row r="51" ht="12.75">
      <c r="O51" s="367"/>
    </row>
    <row r="52" ht="12.75">
      <c r="O52" s="367"/>
    </row>
    <row r="53" ht="12.75">
      <c r="O53" s="367"/>
    </row>
    <row r="54" ht="12.75">
      <c r="O54" s="367"/>
    </row>
    <row r="55" ht="12.75">
      <c r="O55" s="367"/>
    </row>
    <row r="56" ht="12.75">
      <c r="O56" s="367"/>
    </row>
    <row r="57" ht="12.75">
      <c r="O57" s="367"/>
    </row>
    <row r="58" ht="12.75">
      <c r="O58" s="367"/>
    </row>
    <row r="59" ht="12.75">
      <c r="O59" s="367"/>
    </row>
    <row r="60" ht="12.75">
      <c r="O60" s="367"/>
    </row>
    <row r="61" ht="12.75">
      <c r="O61" s="367"/>
    </row>
    <row r="62" ht="12.75">
      <c r="O62" s="367"/>
    </row>
    <row r="63" ht="12.75">
      <c r="O63" s="367"/>
    </row>
    <row r="64" ht="12.75">
      <c r="O64" s="367"/>
    </row>
    <row r="65" ht="12.75">
      <c r="O65" s="367"/>
    </row>
    <row r="66" ht="12.75">
      <c r="O66" s="367"/>
    </row>
    <row r="67" ht="12.75">
      <c r="O67" s="367"/>
    </row>
    <row r="68" ht="12.75">
      <c r="O68" s="367"/>
    </row>
    <row r="69" ht="12.75">
      <c r="O69" s="367"/>
    </row>
    <row r="70" ht="12.75">
      <c r="O70" s="367"/>
    </row>
    <row r="71" ht="12.75">
      <c r="O71" s="367"/>
    </row>
    <row r="72" ht="12.75">
      <c r="O72" s="367"/>
    </row>
    <row r="73" ht="12.75">
      <c r="O73" s="367"/>
    </row>
    <row r="74" ht="12.75">
      <c r="O74" s="367"/>
    </row>
    <row r="75" ht="12.75">
      <c r="O75" s="367"/>
    </row>
    <row r="76" ht="12.75">
      <c r="O76" s="367"/>
    </row>
    <row r="77" ht="12.75">
      <c r="O77" s="367"/>
    </row>
    <row r="78" ht="12.75">
      <c r="O78" s="367"/>
    </row>
    <row r="79" ht="12.75">
      <c r="O79" s="367"/>
    </row>
    <row r="80" ht="12.75">
      <c r="O80" s="367"/>
    </row>
    <row r="81" ht="12.75">
      <c r="O81" s="367"/>
    </row>
    <row r="82" ht="12.75">
      <c r="O82" s="367"/>
    </row>
    <row r="83" ht="12.75">
      <c r="O83" s="367"/>
    </row>
    <row r="84" ht="12.75">
      <c r="O84" s="367"/>
    </row>
    <row r="85" ht="12.75">
      <c r="O85" s="367"/>
    </row>
    <row r="86" ht="12.75">
      <c r="O86" s="367"/>
    </row>
    <row r="87" ht="12.75">
      <c r="O87" s="367"/>
    </row>
    <row r="88" ht="12.75">
      <c r="O88" s="367"/>
    </row>
    <row r="89" ht="12.75">
      <c r="O89" s="367"/>
    </row>
    <row r="90" ht="12.75">
      <c r="O90" s="367"/>
    </row>
    <row r="91" ht="12.75">
      <c r="O91" s="367"/>
    </row>
    <row r="92" ht="12.75">
      <c r="O92" s="367"/>
    </row>
    <row r="93" ht="12.75">
      <c r="O93" s="367"/>
    </row>
    <row r="94" ht="12.75">
      <c r="O94" s="367"/>
    </row>
    <row r="95" ht="12.75">
      <c r="O95" s="367"/>
    </row>
    <row r="96" ht="12.75">
      <c r="O96" s="367"/>
    </row>
    <row r="97" ht="12.75">
      <c r="O97" s="367"/>
    </row>
    <row r="98" ht="12.75">
      <c r="O98" s="367"/>
    </row>
    <row r="99" ht="12.75">
      <c r="O99" s="367"/>
    </row>
    <row r="100" ht="12.75">
      <c r="O100" s="367"/>
    </row>
    <row r="101" ht="12.75">
      <c r="O101" s="367"/>
    </row>
    <row r="102" ht="12.75">
      <c r="O102" s="367"/>
    </row>
    <row r="103" ht="12.75">
      <c r="O103" s="367"/>
    </row>
    <row r="104" ht="12.75">
      <c r="O104" s="367"/>
    </row>
    <row r="105" ht="12.75">
      <c r="O105" s="367"/>
    </row>
    <row r="106" ht="12.75">
      <c r="O106" s="367"/>
    </row>
    <row r="107" ht="12.75">
      <c r="O107" s="367"/>
    </row>
    <row r="108" ht="12.75">
      <c r="O108" s="367"/>
    </row>
    <row r="109" ht="12.75">
      <c r="O109" s="367"/>
    </row>
    <row r="110" ht="12.75">
      <c r="O110" s="367"/>
    </row>
    <row r="111" ht="12.75">
      <c r="O111" s="367"/>
    </row>
    <row r="112" ht="12.75">
      <c r="O112" s="367"/>
    </row>
    <row r="113" ht="12.75">
      <c r="O113" s="367"/>
    </row>
    <row r="114" ht="12.75">
      <c r="O114" s="367"/>
    </row>
    <row r="115" ht="12.75">
      <c r="O115" s="367"/>
    </row>
    <row r="116" ht="12.75">
      <c r="O116" s="367"/>
    </row>
    <row r="117" ht="18" customHeight="1">
      <c r="O117" s="367"/>
    </row>
    <row r="118" ht="18" customHeight="1">
      <c r="O118" s="367"/>
    </row>
    <row r="119" ht="18" customHeight="1">
      <c r="O119" s="367"/>
    </row>
    <row r="120" ht="18" customHeight="1">
      <c r="O120" s="367"/>
    </row>
  </sheetData>
  <sheetProtection password="D6C3" sheet="1"/>
  <printOptions/>
  <pageMargins left="0.7480314960629921" right="0.7480314960629921" top="0.984251968503937" bottom="0.984251968503937" header="0.5118110236220472" footer="0.5118110236220472"/>
  <pageSetup fitToHeight="1" fitToWidth="1" horizontalDpi="600" verticalDpi="600" orientation="landscape" scale="73" r:id="rId1"/>
  <headerFooter alignWithMargins="0">
    <oddFooter>&amp;L&amp;12Steward Fee-Setting&amp;R&amp;12Stewardship Ontario, 
July, 2013</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3:M30"/>
  <sheetViews>
    <sheetView zoomScale="75" zoomScaleNormal="75" zoomScalePageLayoutView="0" workbookViewId="0" topLeftCell="A1">
      <selection activeCell="B3" sqref="B3"/>
    </sheetView>
  </sheetViews>
  <sheetFormatPr defaultColWidth="9.140625" defaultRowHeight="12.75"/>
  <cols>
    <col min="1" max="1" width="37.7109375" style="0" bestFit="1" customWidth="1"/>
    <col min="2" max="13" width="19.421875" style="0" customWidth="1"/>
  </cols>
  <sheetData>
    <row r="2" ht="13.5" thickBot="1"/>
    <row r="3" spans="1:13" ht="15">
      <c r="A3" s="645" t="s">
        <v>104</v>
      </c>
      <c r="B3" s="643" t="str">
        <f>'Historic Fee Rates'!C7</f>
        <v>2004 Fees</v>
      </c>
      <c r="C3" s="643" t="str">
        <f>'Historic Fee Rates'!D7</f>
        <v>2005 Fees</v>
      </c>
      <c r="D3" s="643" t="str">
        <f>'Historic Fee Rates'!E7</f>
        <v>2006 Fees</v>
      </c>
      <c r="E3" s="643" t="str">
        <f>'Historic Fee Rates'!F7</f>
        <v>2007 Fees</v>
      </c>
      <c r="F3" s="643" t="str">
        <f>'Historic Fee Rates'!G7</f>
        <v>2008 Fees</v>
      </c>
      <c r="G3" s="643" t="str">
        <f>'Historic Fee Rates'!H7</f>
        <v>2009 Fees</v>
      </c>
      <c r="H3" s="643" t="str">
        <f>'Historic Fee Rates'!I7</f>
        <v>2010 Fees</v>
      </c>
      <c r="I3" s="643" t="str">
        <f>'Historic Fee Rates'!J7</f>
        <v>2011 Fees</v>
      </c>
      <c r="J3" s="643" t="str">
        <f>'Historic Fee Rates'!K7</f>
        <v>2012 Fees</v>
      </c>
      <c r="K3" s="643" t="str">
        <f>'Historic Fee Rates'!L7</f>
        <v>2013 Fees</v>
      </c>
      <c r="L3" s="643" t="str">
        <f>'Historic Fee Rates'!M7</f>
        <v>2014 Fees</v>
      </c>
      <c r="M3" s="643" t="str">
        <f>'Historic Fee Rates'!N7</f>
        <v>2015 Fees</v>
      </c>
    </row>
    <row r="4" spans="1:13" ht="15">
      <c r="A4" s="645"/>
      <c r="B4" s="644"/>
      <c r="C4" s="644"/>
      <c r="D4" s="644"/>
      <c r="E4" s="644"/>
      <c r="F4" s="644"/>
      <c r="G4" s="644"/>
      <c r="H4" s="644"/>
      <c r="I4" s="644"/>
      <c r="J4" s="644"/>
      <c r="K4" s="644"/>
      <c r="L4" s="644"/>
      <c r="M4" s="644"/>
    </row>
    <row r="5" spans="1:13" ht="15">
      <c r="A5" s="646"/>
      <c r="B5" s="642"/>
      <c r="C5" s="642"/>
      <c r="D5" s="642"/>
      <c r="E5" s="642"/>
      <c r="F5" s="642"/>
      <c r="G5" s="642"/>
      <c r="H5" s="642"/>
      <c r="I5" s="642"/>
      <c r="J5" s="642"/>
      <c r="K5" s="642"/>
      <c r="L5" s="642"/>
      <c r="M5" s="642"/>
    </row>
    <row r="6" spans="1:13" ht="15">
      <c r="A6" s="939" t="str">
        <f>+'Historic Fee Rates'!A9</f>
        <v>Newsprint - CNA/OCNA</v>
      </c>
      <c r="B6" s="648">
        <f>+INDEX('Historic Fee Rates'!C$9:C$36,MATCH('Graph Data'!$A6,'Historic Fee Rates'!$A$9:$A$36,0))</f>
        <v>0.26</v>
      </c>
      <c r="C6" s="648">
        <f>+INDEX('Historic Fee Rates'!D$9:D$36,MATCH('Graph Data'!$A6,'Historic Fee Rates'!$A$9:$A$36,0))</f>
        <v>0.76</v>
      </c>
      <c r="D6" s="648">
        <f>+INDEX('Historic Fee Rates'!E$9:E$36,MATCH('Graph Data'!$A6,'Historic Fee Rates'!$A$9:$A$36,0))</f>
        <v>1.82</v>
      </c>
      <c r="E6" s="648">
        <f>+INDEX('Historic Fee Rates'!F$9:F$36,MATCH('Graph Data'!$A6,'Historic Fee Rates'!$A$9:$A$36,0))</f>
        <v>1.979799338111835</v>
      </c>
      <c r="F6" s="648">
        <f>+INDEX('Historic Fee Rates'!G$9:G$36,MATCH('Graph Data'!$A6,'Historic Fee Rates'!$A$9:$A$36,0))</f>
        <v>1.478071136328613</v>
      </c>
      <c r="G6" s="648">
        <f>+INDEX('Historic Fee Rates'!H$9:H$36,MATCH('Graph Data'!$A6,'Historic Fee Rates'!$A$9:$A$36,0))</f>
        <v>1.5418634318364675</v>
      </c>
      <c r="H6" s="648">
        <f>+INDEX('Historic Fee Rates'!I$9:I$36,MATCH('Graph Data'!$A6,'Historic Fee Rates'!$A$9:$A$36,0))</f>
        <v>1.7</v>
      </c>
      <c r="I6" s="648">
        <f>+INDEX('Historic Fee Rates'!J$9:J$36,MATCH('Graph Data'!$A6,'Historic Fee Rates'!$A$9:$A$36,0))</f>
        <v>2.9000000000000004</v>
      </c>
      <c r="J6" s="648">
        <f>+INDEX('Historic Fee Rates'!K$9:K$36,MATCH('Graph Data'!$A6,'Historic Fee Rates'!$A$9:$A$36,0))</f>
        <v>3.3</v>
      </c>
      <c r="K6" s="648">
        <f>+INDEX('Historic Fee Rates'!L$9:L$36,MATCH('Graph Data'!$A6,'Historic Fee Rates'!$A$9:$A$36,0))</f>
        <v>4.2</v>
      </c>
      <c r="L6" s="648">
        <f>+INDEX('Historic Fee Rates'!M$9:M$36,MATCH('Graph Data'!$A6,'Historic Fee Rates'!$A$9:$A$36,0))</f>
        <v>3</v>
      </c>
      <c r="M6" s="648">
        <f>+INDEX('Historic Fee Rates'!N$9:N$36,MATCH('Graph Data'!$A6,'Historic Fee Rates'!$A$9:$A$36,0))</f>
        <v>3.8</v>
      </c>
    </row>
    <row r="7" spans="1:13" ht="15">
      <c r="A7" s="939" t="str">
        <f>+'Historic Fee Rates'!A10</f>
        <v>Newsprint - Non-CNA/OCNA</v>
      </c>
      <c r="B7" s="648">
        <f>+INDEX('Historic Fee Rates'!C$9:C$36,MATCH('Graph Data'!$A7,'Historic Fee Rates'!$A$9:$A$36,0))</f>
        <v>0.26</v>
      </c>
      <c r="C7" s="648">
        <f>+INDEX('Historic Fee Rates'!D$9:D$36,MATCH('Graph Data'!$A7,'Historic Fee Rates'!$A$9:$A$36,0))</f>
        <v>7.86</v>
      </c>
      <c r="D7" s="648">
        <f>+INDEX('Historic Fee Rates'!E$9:E$36,MATCH('Graph Data'!$A7,'Historic Fee Rates'!$A$9:$A$36,0))</f>
        <v>7.33189299419214</v>
      </c>
      <c r="E7" s="648">
        <f>+INDEX('Historic Fee Rates'!F$9:F$36,MATCH('Graph Data'!$A7,'Historic Fee Rates'!$A$9:$A$36,0))</f>
        <v>6.742588963340355</v>
      </c>
      <c r="F7" s="648">
        <f>+INDEX('Historic Fee Rates'!G$9:G$36,MATCH('Graph Data'!$A7,'Historic Fee Rates'!$A$9:$A$36,0))</f>
        <v>7.638253904580368</v>
      </c>
      <c r="G7" s="648">
        <f>+INDEX('Historic Fee Rates'!H$9:H$36,MATCH('Graph Data'!$A7,'Historic Fee Rates'!$A$9:$A$36,0))</f>
        <v>13.460826036568722</v>
      </c>
      <c r="H7" s="648">
        <f>+INDEX('Historic Fee Rates'!I$9:I$36,MATCH('Graph Data'!$A7,'Historic Fee Rates'!$A$9:$A$36,0))</f>
        <v>7.1</v>
      </c>
      <c r="I7" s="648">
        <f>+INDEX('Historic Fee Rates'!J$9:J$36,MATCH('Graph Data'!$A7,'Historic Fee Rates'!$A$9:$A$36,0))</f>
        <v>11.2</v>
      </c>
      <c r="J7" s="648">
        <f>+INDEX('Historic Fee Rates'!K$9:K$36,MATCH('Graph Data'!$A7,'Historic Fee Rates'!$A$9:$A$36,0))</f>
        <v>20.199999999999996</v>
      </c>
      <c r="K7" s="648">
        <f>+INDEX('Historic Fee Rates'!L$9:L$36,MATCH('Graph Data'!$A7,'Historic Fee Rates'!$A$9:$A$36,0))</f>
        <v>36.199999999999996</v>
      </c>
      <c r="L7" s="648">
        <f>+INDEX('Historic Fee Rates'!M$9:M$36,MATCH('Graph Data'!$A7,'Historic Fee Rates'!$A$9:$A$36,0))</f>
        <v>41.8</v>
      </c>
      <c r="M7" s="648">
        <f>+INDEX('Historic Fee Rates'!N$9:N$36,MATCH('Graph Data'!$A7,'Historic Fee Rates'!$A$9:$A$36,0))</f>
        <v>47.2</v>
      </c>
    </row>
    <row r="8" spans="1:13" ht="15">
      <c r="A8" s="939" t="str">
        <f>+'Historic Fee Rates'!A11</f>
        <v>Magazines and Catalogues</v>
      </c>
      <c r="B8" s="648">
        <f>+INDEX('Historic Fee Rates'!C$9:C$36,MATCH('Graph Data'!$A8,'Historic Fee Rates'!$A$9:$A$36,0))</f>
        <v>3.1</v>
      </c>
      <c r="C8" s="648">
        <f>+INDEX('Historic Fee Rates'!D$9:D$36,MATCH('Graph Data'!$A8,'Historic Fee Rates'!$A$9:$A$36,0))</f>
        <v>8.62</v>
      </c>
      <c r="D8" s="648">
        <f>+INDEX('Historic Fee Rates'!E$9:E$36,MATCH('Graph Data'!$A8,'Historic Fee Rates'!$A$9:$A$36,0))</f>
        <v>14.80554348602006</v>
      </c>
      <c r="E8" s="648">
        <f>+INDEX('Historic Fee Rates'!F$9:F$36,MATCH('Graph Data'!$A8,'Historic Fee Rates'!$A$9:$A$36,0))</f>
        <v>18.401472742575557</v>
      </c>
      <c r="F8" s="648">
        <f>+INDEX('Historic Fee Rates'!G$9:G$36,MATCH('Graph Data'!$A8,'Historic Fee Rates'!$A$9:$A$36,0))</f>
        <v>21.824292805857553</v>
      </c>
      <c r="G8" s="648">
        <f>+INDEX('Historic Fee Rates'!H$9:H$36,MATCH('Graph Data'!$A8,'Historic Fee Rates'!$A$9:$A$36,0))</f>
        <v>33.73381813204801</v>
      </c>
      <c r="H8" s="648">
        <f>+INDEX('Historic Fee Rates'!I$9:I$36,MATCH('Graph Data'!$A8,'Historic Fee Rates'!$A$9:$A$36,0))</f>
        <v>19.7</v>
      </c>
      <c r="I8" s="648">
        <f>+INDEX('Historic Fee Rates'!J$9:J$36,MATCH('Graph Data'!$A8,'Historic Fee Rates'!$A$9:$A$36,0))</f>
        <v>24.8</v>
      </c>
      <c r="J8" s="648">
        <f>+INDEX('Historic Fee Rates'!K$9:K$36,MATCH('Graph Data'!$A8,'Historic Fee Rates'!$A$9:$A$36,0))</f>
        <v>54.5</v>
      </c>
      <c r="K8" s="648">
        <f>+INDEX('Historic Fee Rates'!L$9:L$36,MATCH('Graph Data'!$A8,'Historic Fee Rates'!$A$9:$A$36,0))</f>
        <v>64.7</v>
      </c>
      <c r="L8" s="648">
        <f>+INDEX('Historic Fee Rates'!M$9:M$36,MATCH('Graph Data'!$A8,'Historic Fee Rates'!$A$9:$A$36,0))</f>
        <v>67.4</v>
      </c>
      <c r="M8" s="648">
        <f>+INDEX('Historic Fee Rates'!N$9:N$36,MATCH('Graph Data'!$A8,'Historic Fee Rates'!$A$9:$A$36,0))</f>
        <v>77.4</v>
      </c>
    </row>
    <row r="9" spans="1:13" ht="15">
      <c r="A9" s="939" t="str">
        <f>+'Historic Fee Rates'!A12</f>
        <v>Telephone Books</v>
      </c>
      <c r="B9" s="648">
        <f>+INDEX('Historic Fee Rates'!C$9:C$36,MATCH('Graph Data'!$A9,'Historic Fee Rates'!$A$9:$A$36,0))</f>
        <v>6.87</v>
      </c>
      <c r="C9" s="648">
        <f>+INDEX('Historic Fee Rates'!D$9:D$36,MATCH('Graph Data'!$A9,'Historic Fee Rates'!$A$9:$A$36,0))</f>
        <v>13.02</v>
      </c>
      <c r="D9" s="648">
        <f>+INDEX('Historic Fee Rates'!E$9:E$36,MATCH('Graph Data'!$A9,'Historic Fee Rates'!$A$9:$A$36,0))</f>
        <v>11.895464629483744</v>
      </c>
      <c r="E9" s="648">
        <f>+INDEX('Historic Fee Rates'!F$9:F$36,MATCH('Graph Data'!$A9,'Historic Fee Rates'!$A$9:$A$36,0))</f>
        <v>18.401472742575557</v>
      </c>
      <c r="F9" s="648">
        <f>+INDEX('Historic Fee Rates'!G$9:G$36,MATCH('Graph Data'!$A9,'Historic Fee Rates'!$A$9:$A$36,0))</f>
        <v>21.824292805857553</v>
      </c>
      <c r="G9" s="648">
        <f>+INDEX('Historic Fee Rates'!H$9:H$36,MATCH('Graph Data'!$A9,'Historic Fee Rates'!$A$9:$A$36,0))</f>
        <v>33.73381813204801</v>
      </c>
      <c r="H9" s="648">
        <f>+INDEX('Historic Fee Rates'!I$9:I$36,MATCH('Graph Data'!$A9,'Historic Fee Rates'!$A$9:$A$36,0))</f>
        <v>19.7</v>
      </c>
      <c r="I9" s="648">
        <f>+INDEX('Historic Fee Rates'!J$9:J$36,MATCH('Graph Data'!$A9,'Historic Fee Rates'!$A$9:$A$36,0))</f>
        <v>24.8</v>
      </c>
      <c r="J9" s="648">
        <f>+INDEX('Historic Fee Rates'!K$9:K$36,MATCH('Graph Data'!$A9,'Historic Fee Rates'!$A$9:$A$36,0))</f>
        <v>54.5</v>
      </c>
      <c r="K9" s="648">
        <f>+INDEX('Historic Fee Rates'!L$9:L$36,MATCH('Graph Data'!$A9,'Historic Fee Rates'!$A$9:$A$36,0))</f>
        <v>66.4</v>
      </c>
      <c r="L9" s="648">
        <f>+INDEX('Historic Fee Rates'!M$9:M$36,MATCH('Graph Data'!$A9,'Historic Fee Rates'!$A$9:$A$36,0))</f>
        <v>64.6</v>
      </c>
      <c r="M9" s="648">
        <f>+INDEX('Historic Fee Rates'!N$9:N$36,MATCH('Graph Data'!$A9,'Historic Fee Rates'!$A$9:$A$36,0))</f>
        <v>75.4</v>
      </c>
    </row>
    <row r="10" spans="1:13" ht="15">
      <c r="A10" s="939" t="str">
        <f>+'Historic Fee Rates'!A13</f>
        <v>Other Printed Paper</v>
      </c>
      <c r="B10" s="648">
        <f>+INDEX('Historic Fee Rates'!C$9:C$36,MATCH('Graph Data'!$A10,'Historic Fee Rates'!$A$9:$A$36,0))</f>
        <v>13.18</v>
      </c>
      <c r="C10" s="648">
        <f>+INDEX('Historic Fee Rates'!D$9:D$36,MATCH('Graph Data'!$A10,'Historic Fee Rates'!$A$9:$A$36,0))</f>
        <v>90.29</v>
      </c>
      <c r="D10" s="648">
        <f>+INDEX('Historic Fee Rates'!E$9:E$36,MATCH('Graph Data'!$A10,'Historic Fee Rates'!$A$9:$A$36,0))</f>
        <v>79.59753115094605</v>
      </c>
      <c r="E10" s="648">
        <f>+INDEX('Historic Fee Rates'!F$9:F$36,MATCH('Graph Data'!$A10,'Historic Fee Rates'!$A$9:$A$36,0))</f>
        <v>18.401472742575557</v>
      </c>
      <c r="F10" s="648">
        <f>+INDEX('Historic Fee Rates'!G$9:G$36,MATCH('Graph Data'!$A10,'Historic Fee Rates'!$A$9:$A$36,0))</f>
        <v>21.824292805857553</v>
      </c>
      <c r="G10" s="648">
        <f>+INDEX('Historic Fee Rates'!H$9:H$36,MATCH('Graph Data'!$A10,'Historic Fee Rates'!$A$9:$A$36,0))</f>
        <v>33.73381813204801</v>
      </c>
      <c r="H10" s="648">
        <f>+INDEX('Historic Fee Rates'!I$9:I$36,MATCH('Graph Data'!$A10,'Historic Fee Rates'!$A$9:$A$36,0))</f>
        <v>19.7</v>
      </c>
      <c r="I10" s="648">
        <f>+INDEX('Historic Fee Rates'!J$9:J$36,MATCH('Graph Data'!$A10,'Historic Fee Rates'!$A$9:$A$36,0))</f>
        <v>24.8</v>
      </c>
      <c r="J10" s="648">
        <f>+INDEX('Historic Fee Rates'!K$9:K$36,MATCH('Graph Data'!$A10,'Historic Fee Rates'!$A$9:$A$36,0))</f>
        <v>54.5</v>
      </c>
      <c r="K10" s="648">
        <f>+INDEX('Historic Fee Rates'!L$9:L$36,MATCH('Graph Data'!$A10,'Historic Fee Rates'!$A$9:$A$36,0))</f>
        <v>99.9</v>
      </c>
      <c r="L10" s="648">
        <f>+INDEX('Historic Fee Rates'!M$9:M$36,MATCH('Graph Data'!$A10,'Historic Fee Rates'!$A$9:$A$36,0))</f>
        <v>122.9</v>
      </c>
      <c r="M10" s="648">
        <f>+INDEX('Historic Fee Rates'!N$9:N$36,MATCH('Graph Data'!$A10,'Historic Fee Rates'!$A$9:$A$36,0))</f>
        <v>160</v>
      </c>
    </row>
    <row r="11" spans="1:13" ht="15">
      <c r="A11" s="939" t="str">
        <f>+'Historic Fee Rates'!A15</f>
        <v>Corrugated Cardboard</v>
      </c>
      <c r="B11" s="648">
        <f>+INDEX('Historic Fee Rates'!C$9:C$36,MATCH('Graph Data'!$A11,'Historic Fee Rates'!$A$9:$A$36,0))</f>
        <v>59.87</v>
      </c>
      <c r="C11" s="648">
        <f>+INDEX('Historic Fee Rates'!D$9:D$36,MATCH('Graph Data'!$A11,'Historic Fee Rates'!$A$9:$A$36,0))</f>
        <v>79.04</v>
      </c>
      <c r="D11" s="648">
        <f>+INDEX('Historic Fee Rates'!E$9:E$36,MATCH('Graph Data'!$A11,'Historic Fee Rates'!$A$9:$A$36,0))</f>
        <v>76.72544671319383</v>
      </c>
      <c r="E11" s="648">
        <f>+INDEX('Historic Fee Rates'!F$9:F$36,MATCH('Graph Data'!$A11,'Historic Fee Rates'!$A$9:$A$36,0))</f>
        <v>71.65715999360948</v>
      </c>
      <c r="F11" s="648">
        <f>+INDEX('Historic Fee Rates'!G$9:G$36,MATCH('Graph Data'!$A11,'Historic Fee Rates'!$A$9:$A$36,0))</f>
        <v>72.51641775723046</v>
      </c>
      <c r="G11" s="648">
        <f>+INDEX('Historic Fee Rates'!H$9:H$36,MATCH('Graph Data'!$A11,'Historic Fee Rates'!$A$9:$A$36,0))</f>
        <v>80.20087024775773</v>
      </c>
      <c r="H11" s="648">
        <f>+INDEX('Historic Fee Rates'!I$9:I$36,MATCH('Graph Data'!$A11,'Historic Fee Rates'!$A$9:$A$36,0))</f>
        <v>78.1</v>
      </c>
      <c r="I11" s="648">
        <f>+INDEX('Historic Fee Rates'!J$9:J$36,MATCH('Graph Data'!$A11,'Historic Fee Rates'!$A$9:$A$36,0))</f>
        <v>77</v>
      </c>
      <c r="J11" s="648">
        <f>+INDEX('Historic Fee Rates'!K$9:K$36,MATCH('Graph Data'!$A11,'Historic Fee Rates'!$A$9:$A$36,0))</f>
        <v>114.48524813645756</v>
      </c>
      <c r="K11" s="648">
        <f>+INDEX('Historic Fee Rates'!L$9:L$36,MATCH('Graph Data'!$A11,'Historic Fee Rates'!$A$9:$A$36,0))</f>
        <v>83.9</v>
      </c>
      <c r="L11" s="648">
        <f>+INDEX('Historic Fee Rates'!M$9:M$36,MATCH('Graph Data'!$A11,'Historic Fee Rates'!$A$9:$A$36,0))</f>
        <v>81</v>
      </c>
      <c r="M11" s="648">
        <f>+INDEX('Historic Fee Rates'!N$9:N$36,MATCH('Graph Data'!$A11,'Historic Fee Rates'!$A$9:$A$36,0))</f>
        <v>84.59999999999998</v>
      </c>
    </row>
    <row r="12" spans="1:13" ht="15">
      <c r="A12" s="939" t="str">
        <f>+'Historic Fee Rates'!A16</f>
        <v>Boxboard</v>
      </c>
      <c r="B12" s="648">
        <f>+INDEX('Historic Fee Rates'!C$9:C$36,MATCH('Graph Data'!$A12,'Historic Fee Rates'!$A$9:$A$36,0))</f>
        <v>59.87</v>
      </c>
      <c r="C12" s="648">
        <f>+INDEX('Historic Fee Rates'!D$9:D$36,MATCH('Graph Data'!$A12,'Historic Fee Rates'!$A$9:$A$36,0))</f>
        <v>79.04</v>
      </c>
      <c r="D12" s="648">
        <f>+INDEX('Historic Fee Rates'!E$9:E$36,MATCH('Graph Data'!$A12,'Historic Fee Rates'!$A$9:$A$36,0))</f>
        <v>76.72544671319383</v>
      </c>
      <c r="E12" s="648">
        <f>+INDEX('Historic Fee Rates'!F$9:F$36,MATCH('Graph Data'!$A12,'Historic Fee Rates'!$A$9:$A$36,0))</f>
        <v>71.65715999360948</v>
      </c>
      <c r="F12" s="648">
        <f>+INDEX('Historic Fee Rates'!G$9:G$36,MATCH('Graph Data'!$A12,'Historic Fee Rates'!$A$9:$A$36,0))</f>
        <v>72.51641775723046</v>
      </c>
      <c r="G12" s="648">
        <f>+INDEX('Historic Fee Rates'!H$9:H$36,MATCH('Graph Data'!$A12,'Historic Fee Rates'!$A$9:$A$36,0))</f>
        <v>80.20087024775773</v>
      </c>
      <c r="H12" s="648">
        <f>+INDEX('Historic Fee Rates'!I$9:I$36,MATCH('Graph Data'!$A12,'Historic Fee Rates'!$A$9:$A$36,0))</f>
        <v>78.1</v>
      </c>
      <c r="I12" s="648">
        <f>+INDEX('Historic Fee Rates'!J$9:J$36,MATCH('Graph Data'!$A12,'Historic Fee Rates'!$A$9:$A$36,0))</f>
        <v>77</v>
      </c>
      <c r="J12" s="648">
        <f>+INDEX('Historic Fee Rates'!K$9:K$36,MATCH('Graph Data'!$A12,'Historic Fee Rates'!$A$9:$A$36,0))</f>
        <v>93.369105045682</v>
      </c>
      <c r="K12" s="648">
        <f>+INDEX('Historic Fee Rates'!L$9:L$36,MATCH('Graph Data'!$A12,'Historic Fee Rates'!$A$9:$A$36,0))</f>
        <v>83.9</v>
      </c>
      <c r="L12" s="648">
        <f>+INDEX('Historic Fee Rates'!M$9:M$36,MATCH('Graph Data'!$A12,'Historic Fee Rates'!$A$9:$A$36,0))</f>
        <v>81</v>
      </c>
      <c r="M12" s="648">
        <f>+INDEX('Historic Fee Rates'!N$9:N$36,MATCH('Graph Data'!$A12,'Historic Fee Rates'!$A$9:$A$36,0))</f>
        <v>84.59999999999998</v>
      </c>
    </row>
    <row r="13" spans="1:13" ht="15">
      <c r="A13" s="939" t="str">
        <f>+'Historic Fee Rates'!A17</f>
        <v>Gable Top Cartons</v>
      </c>
      <c r="B13" s="648">
        <f>+INDEX('Historic Fee Rates'!C$9:C$36,MATCH('Graph Data'!$A13,'Historic Fee Rates'!$A$9:$A$36,0))</f>
        <v>59.87</v>
      </c>
      <c r="C13" s="648">
        <f>+INDEX('Historic Fee Rates'!D$9:D$36,MATCH('Graph Data'!$A13,'Historic Fee Rates'!$A$9:$A$36,0))</f>
        <v>79.04</v>
      </c>
      <c r="D13" s="648">
        <f>+INDEX('Historic Fee Rates'!E$9:E$36,MATCH('Graph Data'!$A13,'Historic Fee Rates'!$A$9:$A$36,0))</f>
        <v>76.72544671319383</v>
      </c>
      <c r="E13" s="648">
        <f>+INDEX('Historic Fee Rates'!F$9:F$36,MATCH('Graph Data'!$A13,'Historic Fee Rates'!$A$9:$A$36,0))</f>
        <v>100.55331036250215</v>
      </c>
      <c r="F13" s="648">
        <f>+INDEX('Historic Fee Rates'!G$9:G$36,MATCH('Graph Data'!$A13,'Historic Fee Rates'!$A$9:$A$36,0))</f>
        <v>125.34432015022884</v>
      </c>
      <c r="G13" s="648">
        <f>+INDEX('Historic Fee Rates'!H$9:H$36,MATCH('Graph Data'!$A13,'Historic Fee Rates'!$A$9:$A$36,0))</f>
        <v>135.08362386516842</v>
      </c>
      <c r="H13" s="648">
        <f>+INDEX('Historic Fee Rates'!I$9:I$36,MATCH('Graph Data'!$A13,'Historic Fee Rates'!$A$9:$A$36,0))</f>
        <v>196.5</v>
      </c>
      <c r="I13" s="648">
        <f>+INDEX('Historic Fee Rates'!J$9:J$36,MATCH('Graph Data'!$A13,'Historic Fee Rates'!$A$9:$A$36,0))</f>
        <v>237.5</v>
      </c>
      <c r="J13" s="648">
        <f>+INDEX('Historic Fee Rates'!K$9:K$36,MATCH('Graph Data'!$A13,'Historic Fee Rates'!$A$9:$A$36,0))</f>
        <v>187.6</v>
      </c>
      <c r="K13" s="648">
        <f>+INDEX('Historic Fee Rates'!L$9:L$36,MATCH('Graph Data'!$A13,'Historic Fee Rates'!$A$9:$A$36,0))</f>
        <v>182.20000000000005</v>
      </c>
      <c r="L13" s="648">
        <f>+INDEX('Historic Fee Rates'!M$9:M$36,MATCH('Graph Data'!$A13,'Historic Fee Rates'!$A$9:$A$36,0))</f>
        <v>181.9</v>
      </c>
      <c r="M13" s="648">
        <f>+INDEX('Historic Fee Rates'!N$9:N$36,MATCH('Graph Data'!$A13,'Historic Fee Rates'!$A$9:$A$36,0))</f>
        <v>212.90000000000003</v>
      </c>
    </row>
    <row r="14" spans="1:13" ht="15">
      <c r="A14" s="939" t="str">
        <f>+'Historic Fee Rates'!A18</f>
        <v>Paper Laminates</v>
      </c>
      <c r="B14" s="648">
        <f>+INDEX('Historic Fee Rates'!C$9:C$36,MATCH('Graph Data'!$A14,'Historic Fee Rates'!$A$9:$A$36,0))</f>
        <v>59.87</v>
      </c>
      <c r="C14" s="648">
        <f>+INDEX('Historic Fee Rates'!D$9:D$36,MATCH('Graph Data'!$A14,'Historic Fee Rates'!$A$9:$A$36,0))</f>
        <v>79.04</v>
      </c>
      <c r="D14" s="648">
        <f>+INDEX('Historic Fee Rates'!E$9:E$36,MATCH('Graph Data'!$A14,'Historic Fee Rates'!$A$9:$A$36,0))</f>
        <v>76.72544671319383</v>
      </c>
      <c r="E14" s="648">
        <f>+INDEX('Historic Fee Rates'!F$9:F$36,MATCH('Graph Data'!$A14,'Historic Fee Rates'!$A$9:$A$36,0))</f>
        <v>100.55331036250215</v>
      </c>
      <c r="F14" s="648">
        <f>+INDEX('Historic Fee Rates'!G$9:G$36,MATCH('Graph Data'!$A14,'Historic Fee Rates'!$A$9:$A$36,0))</f>
        <v>125.34432015022884</v>
      </c>
      <c r="G14" s="648">
        <f>+INDEX('Historic Fee Rates'!H$9:H$36,MATCH('Graph Data'!$A14,'Historic Fee Rates'!$A$9:$A$36,0))</f>
        <v>135.08362386516842</v>
      </c>
      <c r="H14" s="648">
        <f>+INDEX('Historic Fee Rates'!I$9:I$36,MATCH('Graph Data'!$A14,'Historic Fee Rates'!$A$9:$A$36,0))</f>
        <v>196.5</v>
      </c>
      <c r="I14" s="648">
        <f>+INDEX('Historic Fee Rates'!J$9:J$36,MATCH('Graph Data'!$A14,'Historic Fee Rates'!$A$9:$A$36,0))</f>
        <v>237.5</v>
      </c>
      <c r="J14" s="648">
        <f>+INDEX('Historic Fee Rates'!K$9:K$36,MATCH('Graph Data'!$A14,'Historic Fee Rates'!$A$9:$A$36,0))</f>
        <v>187.6</v>
      </c>
      <c r="K14" s="648">
        <f>+INDEX('Historic Fee Rates'!L$9:L$36,MATCH('Graph Data'!$A14,'Historic Fee Rates'!$A$9:$A$36,0))</f>
        <v>182.20000000000005</v>
      </c>
      <c r="L14" s="648">
        <f>+INDEX('Historic Fee Rates'!M$9:M$36,MATCH('Graph Data'!$A14,'Historic Fee Rates'!$A$9:$A$36,0))</f>
        <v>181.9</v>
      </c>
      <c r="M14" s="648">
        <f>+INDEX('Historic Fee Rates'!N$9:N$36,MATCH('Graph Data'!$A14,'Historic Fee Rates'!$A$9:$A$36,0))</f>
        <v>212.90000000000003</v>
      </c>
    </row>
    <row r="15" spans="1:13" ht="15">
      <c r="A15" s="939" t="str">
        <f>+'Historic Fee Rates'!A19</f>
        <v>Aseptic Containers</v>
      </c>
      <c r="B15" s="648">
        <f>+INDEX('Historic Fee Rates'!C$9:C$36,MATCH('Graph Data'!$A15,'Historic Fee Rates'!$A$9:$A$36,0))</f>
        <v>59.87</v>
      </c>
      <c r="C15" s="648">
        <f>+INDEX('Historic Fee Rates'!D$9:D$36,MATCH('Graph Data'!$A15,'Historic Fee Rates'!$A$9:$A$36,0))</f>
        <v>79.04</v>
      </c>
      <c r="D15" s="648">
        <f>+INDEX('Historic Fee Rates'!E$9:E$36,MATCH('Graph Data'!$A15,'Historic Fee Rates'!$A$9:$A$36,0))</f>
        <v>76.72544671319383</v>
      </c>
      <c r="E15" s="648">
        <f>+INDEX('Historic Fee Rates'!F$9:F$36,MATCH('Graph Data'!$A15,'Historic Fee Rates'!$A$9:$A$36,0))</f>
        <v>100.55331036250215</v>
      </c>
      <c r="F15" s="648">
        <f>+INDEX('Historic Fee Rates'!G$9:G$36,MATCH('Graph Data'!$A15,'Historic Fee Rates'!$A$9:$A$36,0))</f>
        <v>125.34432015022884</v>
      </c>
      <c r="G15" s="648">
        <f>+INDEX('Historic Fee Rates'!H$9:H$36,MATCH('Graph Data'!$A15,'Historic Fee Rates'!$A$9:$A$36,0))</f>
        <v>135.08362386516842</v>
      </c>
      <c r="H15" s="648">
        <f>+INDEX('Historic Fee Rates'!I$9:I$36,MATCH('Graph Data'!$A15,'Historic Fee Rates'!$A$9:$A$36,0))</f>
        <v>196.5</v>
      </c>
      <c r="I15" s="648">
        <f>+INDEX('Historic Fee Rates'!J$9:J$36,MATCH('Graph Data'!$A15,'Historic Fee Rates'!$A$9:$A$36,0))</f>
        <v>237.5</v>
      </c>
      <c r="J15" s="648">
        <f>+INDEX('Historic Fee Rates'!K$9:K$36,MATCH('Graph Data'!$A15,'Historic Fee Rates'!$A$9:$A$36,0))</f>
        <v>187.6</v>
      </c>
      <c r="K15" s="648">
        <f>+INDEX('Historic Fee Rates'!L$9:L$36,MATCH('Graph Data'!$A15,'Historic Fee Rates'!$A$9:$A$36,0))</f>
        <v>182.20000000000005</v>
      </c>
      <c r="L15" s="648">
        <f>+INDEX('Historic Fee Rates'!M$9:M$36,MATCH('Graph Data'!$A15,'Historic Fee Rates'!$A$9:$A$36,0))</f>
        <v>181.9</v>
      </c>
      <c r="M15" s="648">
        <f>+INDEX('Historic Fee Rates'!N$9:N$36,MATCH('Graph Data'!$A15,'Historic Fee Rates'!$A$9:$A$36,0))</f>
        <v>212.90000000000003</v>
      </c>
    </row>
    <row r="16" spans="1:13" ht="15">
      <c r="A16" s="939" t="str">
        <f>+'Historic Fee Rates'!A21</f>
        <v>PET Bottles</v>
      </c>
      <c r="B16" s="648">
        <f>+INDEX('Historic Fee Rates'!C$9:C$36,MATCH('Graph Data'!$A16,'Historic Fee Rates'!$A$9:$A$36,0))</f>
        <v>96.1</v>
      </c>
      <c r="C16" s="648">
        <f>+INDEX('Historic Fee Rates'!D$9:D$36,MATCH('Graph Data'!$A16,'Historic Fee Rates'!$A$9:$A$36,0))</f>
        <v>139.07</v>
      </c>
      <c r="D16" s="648">
        <f>+INDEX('Historic Fee Rates'!E$9:E$36,MATCH('Graph Data'!$A16,'Historic Fee Rates'!$A$9:$A$36,0))</f>
        <v>135.55549560358926</v>
      </c>
      <c r="E16" s="648">
        <f>+INDEX('Historic Fee Rates'!F$9:F$36,MATCH('Graph Data'!$A16,'Historic Fee Rates'!$A$9:$A$36,0))</f>
        <v>116.44484070604007</v>
      </c>
      <c r="F16" s="648">
        <f>+INDEX('Historic Fee Rates'!G$9:G$36,MATCH('Graph Data'!$A16,'Historic Fee Rates'!$A$9:$A$36,0))</f>
        <v>112.37744395249348</v>
      </c>
      <c r="G16" s="648">
        <f>+INDEX('Historic Fee Rates'!H$9:H$36,MATCH('Graph Data'!$A16,'Historic Fee Rates'!$A$9:$A$36,0))</f>
        <v>124.84027705283846</v>
      </c>
      <c r="H16" s="648">
        <f>+INDEX('Historic Fee Rates'!I$9:I$36,MATCH('Graph Data'!$A16,'Historic Fee Rates'!$A$9:$A$36,0))</f>
        <v>129.8</v>
      </c>
      <c r="I16" s="648">
        <f>+INDEX('Historic Fee Rates'!J$9:J$36,MATCH('Graph Data'!$A16,'Historic Fee Rates'!$A$9:$A$36,0))</f>
        <v>137.8</v>
      </c>
      <c r="J16" s="648">
        <f>+INDEX('Historic Fee Rates'!K$9:K$36,MATCH('Graph Data'!$A16,'Historic Fee Rates'!$A$9:$A$36,0))</f>
        <v>162.4</v>
      </c>
      <c r="K16" s="648">
        <f>+INDEX('Historic Fee Rates'!L$9:L$36,MATCH('Graph Data'!$A16,'Historic Fee Rates'!$A$9:$A$36,0))</f>
        <v>147</v>
      </c>
      <c r="L16" s="648">
        <f>+INDEX('Historic Fee Rates'!M$9:M$36,MATCH('Graph Data'!$A16,'Historic Fee Rates'!$A$9:$A$36,0))</f>
        <v>140.2</v>
      </c>
      <c r="M16" s="648">
        <f>+INDEX('Historic Fee Rates'!N$9:N$36,MATCH('Graph Data'!$A16,'Historic Fee Rates'!$A$9:$A$36,0))</f>
        <v>151.9</v>
      </c>
    </row>
    <row r="17" spans="1:13" ht="15">
      <c r="A17" s="939" t="str">
        <f>+'Historic Fee Rates'!A22</f>
        <v>HDPE Bottles</v>
      </c>
      <c r="B17" s="648">
        <f>+INDEX('Historic Fee Rates'!C$9:C$36,MATCH('Graph Data'!$A17,'Historic Fee Rates'!$A$9:$A$36,0))</f>
        <v>96.1</v>
      </c>
      <c r="C17" s="648">
        <f>+INDEX('Historic Fee Rates'!D$9:D$36,MATCH('Graph Data'!$A17,'Historic Fee Rates'!$A$9:$A$36,0))</f>
        <v>139.07</v>
      </c>
      <c r="D17" s="648">
        <f>+INDEX('Historic Fee Rates'!E$9:E$36,MATCH('Graph Data'!$A17,'Historic Fee Rates'!$A$9:$A$36,0))</f>
        <v>135.55549560358926</v>
      </c>
      <c r="E17" s="648">
        <f>+INDEX('Historic Fee Rates'!F$9:F$36,MATCH('Graph Data'!$A17,'Historic Fee Rates'!$A$9:$A$36,0))</f>
        <v>99.28814165840889</v>
      </c>
      <c r="F17" s="648">
        <f>+INDEX('Historic Fee Rates'!G$9:G$36,MATCH('Graph Data'!$A17,'Historic Fee Rates'!$A$9:$A$36,0))</f>
        <v>111.34854100248793</v>
      </c>
      <c r="G17" s="648">
        <f>+INDEX('Historic Fee Rates'!H$9:H$36,MATCH('Graph Data'!$A17,'Historic Fee Rates'!$A$9:$A$36,0))</f>
        <v>113.71795639706075</v>
      </c>
      <c r="H17" s="648">
        <f>+INDEX('Historic Fee Rates'!I$9:I$36,MATCH('Graph Data'!$A17,'Historic Fee Rates'!$A$9:$A$36,0))</f>
        <v>124.9</v>
      </c>
      <c r="I17" s="648">
        <f>+INDEX('Historic Fee Rates'!J$9:J$36,MATCH('Graph Data'!$A17,'Historic Fee Rates'!$A$9:$A$36,0))</f>
        <v>132.7</v>
      </c>
      <c r="J17" s="648">
        <f>+INDEX('Historic Fee Rates'!K$9:K$36,MATCH('Graph Data'!$A17,'Historic Fee Rates'!$A$9:$A$36,0))</f>
        <v>136</v>
      </c>
      <c r="K17" s="648">
        <f>+INDEX('Historic Fee Rates'!L$9:L$36,MATCH('Graph Data'!$A17,'Historic Fee Rates'!$A$9:$A$36,0))</f>
        <v>135.2</v>
      </c>
      <c r="L17" s="648">
        <f>+INDEX('Historic Fee Rates'!M$9:M$36,MATCH('Graph Data'!$A17,'Historic Fee Rates'!$A$9:$A$36,0))</f>
        <v>126.2</v>
      </c>
      <c r="M17" s="648">
        <f>+INDEX('Historic Fee Rates'!N$9:N$36,MATCH('Graph Data'!$A17,'Historic Fee Rates'!$A$9:$A$36,0))</f>
        <v>131.2</v>
      </c>
    </row>
    <row r="18" spans="1:13" ht="15">
      <c r="A18" s="939" t="str">
        <f>+'Historic Fee Rates'!A23</f>
        <v>Plastic Film</v>
      </c>
      <c r="B18" s="648">
        <f>+INDEX('Historic Fee Rates'!C$9:C$36,MATCH('Graph Data'!$A18,'Historic Fee Rates'!$A$9:$A$36,0))</f>
        <v>96.1</v>
      </c>
      <c r="C18" s="648">
        <f>+INDEX('Historic Fee Rates'!D$9:D$36,MATCH('Graph Data'!$A18,'Historic Fee Rates'!$A$9:$A$36,0))</f>
        <v>139.07</v>
      </c>
      <c r="D18" s="648">
        <f>+INDEX('Historic Fee Rates'!E$9:E$36,MATCH('Graph Data'!$A18,'Historic Fee Rates'!$A$9:$A$36,0))</f>
        <v>135.55549560358926</v>
      </c>
      <c r="E18" s="648">
        <f>+INDEX('Historic Fee Rates'!F$9:F$36,MATCH('Graph Data'!$A18,'Historic Fee Rates'!$A$9:$A$36,0))</f>
        <v>147.20437670271855</v>
      </c>
      <c r="F18" s="648">
        <f>+INDEX('Historic Fee Rates'!G$9:G$36,MATCH('Graph Data'!$A18,'Historic Fee Rates'!$A$9:$A$36,0))</f>
        <v>184.48623410160064</v>
      </c>
      <c r="G18" s="648">
        <f>+INDEX('Historic Fee Rates'!H$9:H$36,MATCH('Graph Data'!$A18,'Historic Fee Rates'!$A$9:$A$36,0))</f>
        <v>190.26836732120478</v>
      </c>
      <c r="H18" s="648">
        <f>+INDEX('Historic Fee Rates'!I$9:I$36,MATCH('Graph Data'!$A18,'Historic Fee Rates'!$A$9:$A$36,0))</f>
        <v>246.5</v>
      </c>
      <c r="I18" s="648">
        <f>+INDEX('Historic Fee Rates'!J$9:J$36,MATCH('Graph Data'!$A18,'Historic Fee Rates'!$A$9:$A$36,0))</f>
        <v>281.6</v>
      </c>
      <c r="J18" s="648">
        <f>+INDEX('Historic Fee Rates'!K$9:K$36,MATCH('Graph Data'!$A18,'Historic Fee Rates'!$A$9:$A$36,0))</f>
        <v>272.3</v>
      </c>
      <c r="K18" s="648">
        <f>+INDEX('Historic Fee Rates'!L$9:L$36,MATCH('Graph Data'!$A18,'Historic Fee Rates'!$A$9:$A$36,0))</f>
        <v>232.70000000000005</v>
      </c>
      <c r="L18" s="648">
        <f>+INDEX('Historic Fee Rates'!M$9:M$36,MATCH('Graph Data'!$A18,'Historic Fee Rates'!$A$9:$A$36,0))</f>
        <v>225.40000000000003</v>
      </c>
      <c r="M18" s="648">
        <f>+INDEX('Historic Fee Rates'!N$9:N$36,MATCH('Graph Data'!$A18,'Historic Fee Rates'!$A$9:$A$36,0))</f>
        <v>281</v>
      </c>
    </row>
    <row r="19" spans="1:13" ht="15">
      <c r="A19" s="939" t="str">
        <f>+'Historic Fee Rates'!A24</f>
        <v>Plastic Laminates</v>
      </c>
      <c r="B19" s="648">
        <f>+INDEX('Historic Fee Rates'!C$9:C$36,MATCH('Graph Data'!$A19,'Historic Fee Rates'!$A$9:$A$36,0))</f>
        <v>96.1</v>
      </c>
      <c r="C19" s="648">
        <f>+INDEX('Historic Fee Rates'!D$9:D$36,MATCH('Graph Data'!$A19,'Historic Fee Rates'!$A$9:$A$36,0))</f>
        <v>139.07</v>
      </c>
      <c r="D19" s="648">
        <f>+INDEX('Historic Fee Rates'!E$9:E$36,MATCH('Graph Data'!$A19,'Historic Fee Rates'!$A$9:$A$36,0))</f>
        <v>135.55549560358926</v>
      </c>
      <c r="E19" s="648">
        <f>+INDEX('Historic Fee Rates'!F$9:F$36,MATCH('Graph Data'!$A19,'Historic Fee Rates'!$A$9:$A$36,0))</f>
        <v>147.20437670271855</v>
      </c>
      <c r="F19" s="648">
        <f>+INDEX('Historic Fee Rates'!G$9:G$36,MATCH('Graph Data'!$A19,'Historic Fee Rates'!$A$9:$A$36,0))</f>
        <v>184.48623410160064</v>
      </c>
      <c r="G19" s="648">
        <f>+INDEX('Historic Fee Rates'!H$9:H$36,MATCH('Graph Data'!$A19,'Historic Fee Rates'!$A$9:$A$36,0))</f>
        <v>190.26836732120478</v>
      </c>
      <c r="H19" s="648">
        <f>+INDEX('Historic Fee Rates'!I$9:I$36,MATCH('Graph Data'!$A19,'Historic Fee Rates'!$A$9:$A$36,0))</f>
        <v>246.5</v>
      </c>
      <c r="I19" s="648">
        <f>+INDEX('Historic Fee Rates'!J$9:J$36,MATCH('Graph Data'!$A19,'Historic Fee Rates'!$A$9:$A$36,0))</f>
        <v>281.6</v>
      </c>
      <c r="J19" s="648">
        <f>+INDEX('Historic Fee Rates'!K$9:K$36,MATCH('Graph Data'!$A19,'Historic Fee Rates'!$A$9:$A$36,0))</f>
        <v>272.3</v>
      </c>
      <c r="K19" s="648">
        <f>+INDEX('Historic Fee Rates'!L$9:L$36,MATCH('Graph Data'!$A19,'Historic Fee Rates'!$A$9:$A$36,0))</f>
        <v>232.70000000000005</v>
      </c>
      <c r="L19" s="648">
        <f>+INDEX('Historic Fee Rates'!M$9:M$36,MATCH('Graph Data'!$A19,'Historic Fee Rates'!$A$9:$A$36,0))</f>
        <v>225.40000000000003</v>
      </c>
      <c r="M19" s="648">
        <f>+INDEX('Historic Fee Rates'!N$9:N$36,MATCH('Graph Data'!$A19,'Historic Fee Rates'!$A$9:$A$36,0))</f>
        <v>281</v>
      </c>
    </row>
    <row r="20" spans="1:13" ht="15">
      <c r="A20" s="939" t="str">
        <f>+'Historic Fee Rates'!A25</f>
        <v>Polystyrene</v>
      </c>
      <c r="B20" s="648">
        <f>+INDEX('Historic Fee Rates'!C$9:C$36,MATCH('Graph Data'!$A20,'Historic Fee Rates'!$A$9:$A$36,0))</f>
        <v>96.1</v>
      </c>
      <c r="C20" s="648">
        <f>+INDEX('Historic Fee Rates'!D$9:D$36,MATCH('Graph Data'!$A20,'Historic Fee Rates'!$A$9:$A$36,0))</f>
        <v>139.07</v>
      </c>
      <c r="D20" s="648">
        <f>+INDEX('Historic Fee Rates'!E$9:E$36,MATCH('Graph Data'!$A20,'Historic Fee Rates'!$A$9:$A$36,0))</f>
        <v>135.55549560358926</v>
      </c>
      <c r="E20" s="648">
        <f>+INDEX('Historic Fee Rates'!F$9:F$36,MATCH('Graph Data'!$A20,'Historic Fee Rates'!$A$9:$A$36,0))</f>
        <v>147.20437670271855</v>
      </c>
      <c r="F20" s="648">
        <f>+INDEX('Historic Fee Rates'!G$9:G$36,MATCH('Graph Data'!$A20,'Historic Fee Rates'!$A$9:$A$36,0))</f>
        <v>184.48623410160064</v>
      </c>
      <c r="G20" s="648">
        <f>+INDEX('Historic Fee Rates'!H$9:H$36,MATCH('Graph Data'!$A20,'Historic Fee Rates'!$A$9:$A$36,0))</f>
        <v>190.26836732120478</v>
      </c>
      <c r="H20" s="648">
        <f>+INDEX('Historic Fee Rates'!I$9:I$36,MATCH('Graph Data'!$A20,'Historic Fee Rates'!$A$9:$A$36,0))</f>
        <v>246.5</v>
      </c>
      <c r="I20" s="648">
        <f>+INDEX('Historic Fee Rates'!J$9:J$36,MATCH('Graph Data'!$A20,'Historic Fee Rates'!$A$9:$A$36,0))</f>
        <v>281.6</v>
      </c>
      <c r="J20" s="648">
        <f>+INDEX('Historic Fee Rates'!K$9:K$36,MATCH('Graph Data'!$A20,'Historic Fee Rates'!$A$9:$A$36,0))</f>
        <v>272.3</v>
      </c>
      <c r="K20" s="648">
        <f>+INDEX('Historic Fee Rates'!L$9:L$36,MATCH('Graph Data'!$A20,'Historic Fee Rates'!$A$9:$A$36,0))</f>
        <v>232.70000000000005</v>
      </c>
      <c r="L20" s="648">
        <f>+INDEX('Historic Fee Rates'!M$9:M$36,MATCH('Graph Data'!$A20,'Historic Fee Rates'!$A$9:$A$36,0))</f>
        <v>225.40000000000003</v>
      </c>
      <c r="M20" s="648">
        <f>+INDEX('Historic Fee Rates'!N$9:N$36,MATCH('Graph Data'!$A20,'Historic Fee Rates'!$A$9:$A$36,0))</f>
        <v>281</v>
      </c>
    </row>
    <row r="21" spans="1:13" ht="15">
      <c r="A21" s="939" t="str">
        <f>+'Historic Fee Rates'!A26</f>
        <v>Other Plastics</v>
      </c>
      <c r="B21" s="648">
        <f>+INDEX('Historic Fee Rates'!C$9:C$36,MATCH('Graph Data'!$A21,'Historic Fee Rates'!$A$9:$A$36,0))</f>
        <v>96.1</v>
      </c>
      <c r="C21" s="648">
        <f>+INDEX('Historic Fee Rates'!D$9:D$36,MATCH('Graph Data'!$A21,'Historic Fee Rates'!$A$9:$A$36,0))</f>
        <v>139.07</v>
      </c>
      <c r="D21" s="648">
        <f>+INDEX('Historic Fee Rates'!E$9:E$36,MATCH('Graph Data'!$A21,'Historic Fee Rates'!$A$9:$A$36,0))</f>
        <v>135.55549560358926</v>
      </c>
      <c r="E21" s="648">
        <f>+INDEX('Historic Fee Rates'!F$9:F$36,MATCH('Graph Data'!$A21,'Historic Fee Rates'!$A$9:$A$36,0))</f>
        <v>147.20437670271855</v>
      </c>
      <c r="F21" s="648">
        <f>+INDEX('Historic Fee Rates'!G$9:G$36,MATCH('Graph Data'!$A21,'Historic Fee Rates'!$A$9:$A$36,0))</f>
        <v>184.48623410160064</v>
      </c>
      <c r="G21" s="648">
        <f>+INDEX('Historic Fee Rates'!H$9:H$36,MATCH('Graph Data'!$A21,'Historic Fee Rates'!$A$9:$A$36,0))</f>
        <v>190.26836732120478</v>
      </c>
      <c r="H21" s="648">
        <f>+INDEX('Historic Fee Rates'!I$9:I$36,MATCH('Graph Data'!$A21,'Historic Fee Rates'!$A$9:$A$36,0))</f>
        <v>246.5</v>
      </c>
      <c r="I21" s="648">
        <f>+INDEX('Historic Fee Rates'!J$9:J$36,MATCH('Graph Data'!$A21,'Historic Fee Rates'!$A$9:$A$36,0))</f>
        <v>281.6</v>
      </c>
      <c r="J21" s="648">
        <f>+INDEX('Historic Fee Rates'!K$9:K$36,MATCH('Graph Data'!$A21,'Historic Fee Rates'!$A$9:$A$36,0))</f>
        <v>293.217403265496</v>
      </c>
      <c r="K21" s="648">
        <f>+INDEX('Historic Fee Rates'!L$9:L$36,MATCH('Graph Data'!$A21,'Historic Fee Rates'!$A$9:$A$36,0))</f>
        <v>232.70000000000005</v>
      </c>
      <c r="L21" s="648">
        <f>+INDEX('Historic Fee Rates'!M$9:M$36,MATCH('Graph Data'!$A21,'Historic Fee Rates'!$A$9:$A$36,0))</f>
        <v>225.40000000000003</v>
      </c>
      <c r="M21" s="648">
        <f>+INDEX('Historic Fee Rates'!N$9:N$36,MATCH('Graph Data'!$A21,'Historic Fee Rates'!$A$9:$A$36,0))</f>
        <v>281</v>
      </c>
    </row>
    <row r="22" spans="1:13" ht="15">
      <c r="A22" s="939" t="str">
        <f>+'Historic Fee Rates'!A28</f>
        <v>Steel Food &amp; Beverage Cans</v>
      </c>
      <c r="B22" s="648">
        <f>+INDEX('Historic Fee Rates'!C$9:C$36,MATCH('Graph Data'!$A22,'Historic Fee Rates'!$A$9:$A$36,0))</f>
        <v>43.91</v>
      </c>
      <c r="C22" s="648">
        <f>+INDEX('Historic Fee Rates'!D$9:D$36,MATCH('Graph Data'!$A22,'Historic Fee Rates'!$A$9:$A$36,0))</f>
        <v>47.45</v>
      </c>
      <c r="D22" s="648">
        <f>+INDEX('Historic Fee Rates'!E$9:E$36,MATCH('Graph Data'!$A22,'Historic Fee Rates'!$A$9:$A$36,0))</f>
        <v>46.012677353665175</v>
      </c>
      <c r="E22" s="648">
        <f>+INDEX('Historic Fee Rates'!F$9:F$36,MATCH('Graph Data'!$A22,'Historic Fee Rates'!$A$9:$A$36,0))</f>
        <v>43.979181803223526</v>
      </c>
      <c r="F22" s="648">
        <f>+INDEX('Historic Fee Rates'!G$9:G$36,MATCH('Graph Data'!$A22,'Historic Fee Rates'!$A$9:$A$36,0))</f>
        <v>47.4363670769528</v>
      </c>
      <c r="G22" s="648">
        <f>+INDEX('Historic Fee Rates'!H$9:H$36,MATCH('Graph Data'!$A22,'Historic Fee Rates'!$A$9:$A$36,0))</f>
        <v>49.98391473422041</v>
      </c>
      <c r="H22" s="648">
        <f>+INDEX('Historic Fee Rates'!I$9:I$36,MATCH('Graph Data'!$A22,'Historic Fee Rates'!$A$9:$A$36,0))</f>
        <v>55.4</v>
      </c>
      <c r="I22" s="648">
        <f>+INDEX('Historic Fee Rates'!J$9:J$36,MATCH('Graph Data'!$A22,'Historic Fee Rates'!$A$9:$A$36,0))</f>
        <v>62.6</v>
      </c>
      <c r="J22" s="648">
        <f>+INDEX('Historic Fee Rates'!K$9:K$36,MATCH('Graph Data'!$A22,'Historic Fee Rates'!$A$9:$A$36,0))</f>
        <v>60.69999999999999</v>
      </c>
      <c r="K22" s="648">
        <f>+INDEX('Historic Fee Rates'!L$9:L$36,MATCH('Graph Data'!$A22,'Historic Fee Rates'!$A$9:$A$36,0))</f>
        <v>55.1</v>
      </c>
      <c r="L22" s="648">
        <f>+INDEX('Historic Fee Rates'!M$9:M$36,MATCH('Graph Data'!$A22,'Historic Fee Rates'!$A$9:$A$36,0))</f>
        <v>50.6</v>
      </c>
      <c r="M22" s="648">
        <f>+INDEX('Historic Fee Rates'!N$9:N$36,MATCH('Graph Data'!$A22,'Historic Fee Rates'!$A$9:$A$36,0))</f>
        <v>57.7</v>
      </c>
    </row>
    <row r="23" spans="1:13" ht="15">
      <c r="A23" s="939" t="str">
        <f>+'Historic Fee Rates'!A29</f>
        <v>Steel Aerosols</v>
      </c>
      <c r="B23" s="648">
        <f>+INDEX('Historic Fee Rates'!C$9:C$36,MATCH('Graph Data'!$A23,'Historic Fee Rates'!$A$9:$A$36,0))</f>
        <v>43.91</v>
      </c>
      <c r="C23" s="648">
        <f>+INDEX('Historic Fee Rates'!D$9:D$36,MATCH('Graph Data'!$A23,'Historic Fee Rates'!$A$9:$A$36,0))</f>
        <v>47.45</v>
      </c>
      <c r="D23" s="648">
        <f>+INDEX('Historic Fee Rates'!E$9:E$36,MATCH('Graph Data'!$A23,'Historic Fee Rates'!$A$9:$A$36,0))</f>
        <v>46.012677353665175</v>
      </c>
      <c r="E23" s="648">
        <f>+INDEX('Historic Fee Rates'!F$9:F$36,MATCH('Graph Data'!$A23,'Historic Fee Rates'!$A$9:$A$36,0))</f>
        <v>43.979181803223526</v>
      </c>
      <c r="F23" s="648">
        <f>+INDEX('Historic Fee Rates'!G$9:G$36,MATCH('Graph Data'!$A23,'Historic Fee Rates'!$A$9:$A$36,0))</f>
        <v>47.4363670769528</v>
      </c>
      <c r="G23" s="648">
        <f>+INDEX('Historic Fee Rates'!H$9:H$36,MATCH('Graph Data'!$A23,'Historic Fee Rates'!$A$9:$A$36,0))</f>
        <v>49.98391473422041</v>
      </c>
      <c r="H23" s="648">
        <f>+INDEX('Historic Fee Rates'!I$9:I$36,MATCH('Graph Data'!$A23,'Historic Fee Rates'!$A$9:$A$36,0))</f>
        <v>55.4</v>
      </c>
      <c r="I23" s="648">
        <f>+INDEX('Historic Fee Rates'!J$9:J$36,MATCH('Graph Data'!$A23,'Historic Fee Rates'!$A$9:$A$36,0))</f>
        <v>62.6</v>
      </c>
      <c r="J23" s="648">
        <f>+INDEX('Historic Fee Rates'!K$9:K$36,MATCH('Graph Data'!$A23,'Historic Fee Rates'!$A$9:$A$36,0))</f>
        <v>60.69999999999999</v>
      </c>
      <c r="K23" s="648">
        <f>+INDEX('Historic Fee Rates'!L$9:L$36,MATCH('Graph Data'!$A23,'Historic Fee Rates'!$A$9:$A$36,0))</f>
        <v>55.1</v>
      </c>
      <c r="L23" s="648">
        <f>+INDEX('Historic Fee Rates'!M$9:M$36,MATCH('Graph Data'!$A23,'Historic Fee Rates'!$A$9:$A$36,0))</f>
        <v>50.6</v>
      </c>
      <c r="M23" s="648">
        <f>+INDEX('Historic Fee Rates'!N$9:N$36,MATCH('Graph Data'!$A23,'Historic Fee Rates'!$A$9:$A$36,0))</f>
        <v>57.7</v>
      </c>
    </row>
    <row r="24" spans="1:13" ht="15">
      <c r="A24" s="939" t="str">
        <f>+'Historic Fee Rates'!A30</f>
        <v>Steel Paint Cans</v>
      </c>
      <c r="B24" s="648">
        <f>+INDEX('Historic Fee Rates'!C$9:C$36,MATCH('Graph Data'!$A24,'Historic Fee Rates'!$A$9:$A$36,0))</f>
        <v>43.91</v>
      </c>
      <c r="C24" s="648">
        <f>+INDEX('Historic Fee Rates'!D$9:D$36,MATCH('Graph Data'!$A24,'Historic Fee Rates'!$A$9:$A$36,0))</f>
        <v>47.45</v>
      </c>
      <c r="D24" s="648">
        <f>+INDEX('Historic Fee Rates'!E$9:E$36,MATCH('Graph Data'!$A24,'Historic Fee Rates'!$A$9:$A$36,0))</f>
        <v>46.012677353665175</v>
      </c>
      <c r="E24" s="648">
        <f>+INDEX('Historic Fee Rates'!F$9:F$36,MATCH('Graph Data'!$A24,'Historic Fee Rates'!$A$9:$A$36,0))</f>
        <v>43.979181803223526</v>
      </c>
      <c r="F24" s="648">
        <f>+INDEX('Historic Fee Rates'!G$9:G$36,MATCH('Graph Data'!$A24,'Historic Fee Rates'!$A$9:$A$36,0))</f>
        <v>47.4363670769528</v>
      </c>
      <c r="G24" s="648">
        <f>+INDEX('Historic Fee Rates'!H$9:H$36,MATCH('Graph Data'!$A24,'Historic Fee Rates'!$A$9:$A$36,0))</f>
        <v>49.98391473422041</v>
      </c>
      <c r="H24" s="648">
        <f>+INDEX('Historic Fee Rates'!I$9:I$36,MATCH('Graph Data'!$A24,'Historic Fee Rates'!$A$9:$A$36,0))</f>
        <v>55.4</v>
      </c>
      <c r="I24" s="648">
        <f>+INDEX('Historic Fee Rates'!J$9:J$36,MATCH('Graph Data'!$A24,'Historic Fee Rates'!$A$9:$A$36,0))</f>
        <v>62.6</v>
      </c>
      <c r="J24" s="648">
        <f>+INDEX('Historic Fee Rates'!K$9:K$36,MATCH('Graph Data'!$A24,'Historic Fee Rates'!$A$9:$A$36,0))</f>
        <v>60.69999999999999</v>
      </c>
      <c r="K24" s="648">
        <f>+INDEX('Historic Fee Rates'!L$9:L$36,MATCH('Graph Data'!$A24,'Historic Fee Rates'!$A$9:$A$36,0))</f>
        <v>55.1</v>
      </c>
      <c r="L24" s="648">
        <f>+INDEX('Historic Fee Rates'!M$9:M$36,MATCH('Graph Data'!$A24,'Historic Fee Rates'!$A$9:$A$36,0))</f>
        <v>50.6</v>
      </c>
      <c r="M24" s="648">
        <f>+INDEX('Historic Fee Rates'!N$9:N$36,MATCH('Graph Data'!$A24,'Historic Fee Rates'!$A$9:$A$36,0))</f>
        <v>57.7</v>
      </c>
    </row>
    <row r="25" spans="1:13" ht="15">
      <c r="A25" s="939" t="str">
        <f>+'Historic Fee Rates'!A32</f>
        <v>Aluminum Food &amp; Beverage Cans</v>
      </c>
      <c r="B25" s="648">
        <f>+INDEX('Historic Fee Rates'!C$9:C$36,MATCH('Graph Data'!$A25,'Historic Fee Rates'!$A$9:$A$36,0))</f>
        <v>-35.78</v>
      </c>
      <c r="C25" s="648">
        <f>+INDEX('Historic Fee Rates'!D$9:D$36,MATCH('Graph Data'!$A25,'Historic Fee Rates'!$A$9:$A$36,0))</f>
        <v>-10.93</v>
      </c>
      <c r="D25" s="648">
        <f>+INDEX('Historic Fee Rates'!E$9:E$36,MATCH('Graph Data'!$A25,'Historic Fee Rates'!$A$9:$A$36,0))</f>
        <v>-4.764947496477933</v>
      </c>
      <c r="E25" s="648">
        <f>+INDEX('Historic Fee Rates'!F$9:F$36,MATCH('Graph Data'!$A25,'Historic Fee Rates'!$A$9:$A$36,0))</f>
        <v>-18.631222727235745</v>
      </c>
      <c r="F25" s="648">
        <f>+INDEX('Historic Fee Rates'!G$9:G$36,MATCH('Graph Data'!$A25,'Historic Fee Rates'!$A$9:$A$36,0))</f>
        <v>-22.15278870253392</v>
      </c>
      <c r="G25" s="648">
        <f>+INDEX('Historic Fee Rates'!H$9:H$36,MATCH('Graph Data'!$A25,'Historic Fee Rates'!$A$9:$A$36,0))</f>
        <v>-29.836865039925833</v>
      </c>
      <c r="H25" s="648">
        <f>+INDEX('Historic Fee Rates'!I$9:I$36,MATCH('Graph Data'!$A25,'Historic Fee Rates'!$A$9:$A$36,0))</f>
        <v>-22</v>
      </c>
      <c r="I25" s="648">
        <f>+INDEX('Historic Fee Rates'!J$9:J$36,MATCH('Graph Data'!$A25,'Historic Fee Rates'!$A$9:$A$36,0))</f>
        <v>5.2</v>
      </c>
      <c r="J25" s="648">
        <f>+INDEX('Historic Fee Rates'!K$9:K$36,MATCH('Graph Data'!$A25,'Historic Fee Rates'!$A$9:$A$36,0))</f>
        <v>20</v>
      </c>
      <c r="K25" s="648">
        <f>+INDEX('Historic Fee Rates'!L$9:L$36,MATCH('Graph Data'!$A25,'Historic Fee Rates'!$A$9:$A$36,0))</f>
        <v>25.599999999999994</v>
      </c>
      <c r="L25" s="648">
        <f>+INDEX('Historic Fee Rates'!M$9:M$36,MATCH('Graph Data'!$A25,'Historic Fee Rates'!$A$9:$A$36,0))</f>
        <v>17.7</v>
      </c>
      <c r="M25" s="648">
        <f>+INDEX('Historic Fee Rates'!N$9:N$36,MATCH('Graph Data'!$A25,'Historic Fee Rates'!$A$9:$A$36,0))</f>
        <v>39.8</v>
      </c>
    </row>
    <row r="26" spans="1:13" ht="15">
      <c r="A26" s="939" t="str">
        <f>+'Historic Fee Rates'!A33</f>
        <v>Other Aluminum Packaging</v>
      </c>
      <c r="B26" s="648">
        <f>+INDEX('Historic Fee Rates'!C$9:C$36,MATCH('Graph Data'!$A26,'Historic Fee Rates'!$A$9:$A$36,0))</f>
        <v>16.18</v>
      </c>
      <c r="C26" s="648">
        <f>+INDEX('Historic Fee Rates'!D$9:D$36,MATCH('Graph Data'!$A26,'Historic Fee Rates'!$A$9:$A$36,0))</f>
        <v>55.02</v>
      </c>
      <c r="D26" s="648">
        <f>+INDEX('Historic Fee Rates'!E$9:E$36,MATCH('Graph Data'!$A26,'Historic Fee Rates'!$A$9:$A$36,0))</f>
        <v>35.76863819998456</v>
      </c>
      <c r="E26" s="648">
        <f>+INDEX('Historic Fee Rates'!F$9:F$36,MATCH('Graph Data'!$A26,'Historic Fee Rates'!$A$9:$A$36,0))</f>
        <v>58.626861865452575</v>
      </c>
      <c r="F26" s="648">
        <f>+INDEX('Historic Fee Rates'!G$9:G$36,MATCH('Graph Data'!$A26,'Historic Fee Rates'!$A$9:$A$36,0))</f>
        <v>50.95339436536893</v>
      </c>
      <c r="G26" s="648">
        <f>+INDEX('Historic Fee Rates'!H$9:H$36,MATCH('Graph Data'!$A26,'Historic Fee Rates'!$A$9:$A$36,0))</f>
        <v>59.2060316177282</v>
      </c>
      <c r="H26" s="648">
        <f>+INDEX('Historic Fee Rates'!I$9:I$36,MATCH('Graph Data'!$A26,'Historic Fee Rates'!$A$9:$A$36,0))</f>
        <v>13.9</v>
      </c>
      <c r="I26" s="648">
        <f>+INDEX('Historic Fee Rates'!J$9:J$36,MATCH('Graph Data'!$A26,'Historic Fee Rates'!$A$9:$A$36,0))</f>
        <v>75</v>
      </c>
      <c r="J26" s="648">
        <f>+INDEX('Historic Fee Rates'!K$9:K$36,MATCH('Graph Data'!$A26,'Historic Fee Rates'!$A$9:$A$36,0))</f>
        <v>84.1</v>
      </c>
      <c r="K26" s="648">
        <f>+INDEX('Historic Fee Rates'!L$9:L$36,MATCH('Graph Data'!$A26,'Historic Fee Rates'!$A$9:$A$36,0))</f>
        <v>69.7</v>
      </c>
      <c r="L26" s="648">
        <f>+INDEX('Historic Fee Rates'!M$9:M$36,MATCH('Graph Data'!$A26,'Historic Fee Rates'!$A$9:$A$36,0))</f>
        <v>65.69999999999999</v>
      </c>
      <c r="M26" s="648">
        <f>+INDEX('Historic Fee Rates'!N$9:N$36,MATCH('Graph Data'!$A26,'Historic Fee Rates'!$A$9:$A$36,0))</f>
        <v>85.49999999999999</v>
      </c>
    </row>
    <row r="27" spans="1:13" ht="15">
      <c r="A27" s="939" t="str">
        <f>+'Historic Fee Rates'!A35</f>
        <v>Clear Glass</v>
      </c>
      <c r="B27" s="648">
        <f>+INDEX('Historic Fee Rates'!C$9:C$36,MATCH('Graph Data'!$A27,'Historic Fee Rates'!$A$9:$A$36,0))</f>
        <v>36.82</v>
      </c>
      <c r="C27" s="648">
        <f>+INDEX('Historic Fee Rates'!D$9:D$36,MATCH('Graph Data'!$A27,'Historic Fee Rates'!$A$9:$A$36,0))</f>
        <v>37.61</v>
      </c>
      <c r="D27" s="648">
        <f>+INDEX('Historic Fee Rates'!E$9:E$36,MATCH('Graph Data'!$A27,'Historic Fee Rates'!$A$9:$A$36,0))</f>
        <v>33.09389591339549</v>
      </c>
      <c r="E27" s="648">
        <f>+INDEX('Historic Fee Rates'!F$9:F$36,MATCH('Graph Data'!$A27,'Historic Fee Rates'!$A$9:$A$36,0))</f>
        <v>35.9646386862942</v>
      </c>
      <c r="F27" s="648">
        <f>+INDEX('Historic Fee Rates'!G$9:G$36,MATCH('Graph Data'!$A27,'Historic Fee Rates'!$A$9:$A$36,0))</f>
        <v>35.2937202783169</v>
      </c>
      <c r="G27" s="648">
        <f>+INDEX('Historic Fee Rates'!H$9:H$36,MATCH('Graph Data'!$A27,'Historic Fee Rates'!$A$9:$A$36,0))</f>
        <v>34.61226032585347</v>
      </c>
      <c r="H27" s="648">
        <f>+INDEX('Historic Fee Rates'!I$9:I$36,MATCH('Graph Data'!$A27,'Historic Fee Rates'!$A$9:$A$36,0))</f>
        <v>38</v>
      </c>
      <c r="I27" s="648">
        <f>+INDEX('Historic Fee Rates'!J$9:J$36,MATCH('Graph Data'!$A27,'Historic Fee Rates'!$A$9:$A$36,0))</f>
        <v>36.9</v>
      </c>
      <c r="J27" s="648">
        <f>+INDEX('Historic Fee Rates'!K$9:K$36,MATCH('Graph Data'!$A27,'Historic Fee Rates'!$A$9:$A$36,0))</f>
        <v>32.699999999999996</v>
      </c>
      <c r="K27" s="648">
        <f>+INDEX('Historic Fee Rates'!L$9:L$36,MATCH('Graph Data'!$A27,'Historic Fee Rates'!$A$9:$A$36,0))</f>
        <v>28.4</v>
      </c>
      <c r="L27" s="648">
        <f>+INDEX('Historic Fee Rates'!M$9:M$36,MATCH('Graph Data'!$A27,'Historic Fee Rates'!$A$9:$A$36,0))</f>
        <v>27.1</v>
      </c>
      <c r="M27" s="648">
        <f>+INDEX('Historic Fee Rates'!N$9:N$36,MATCH('Graph Data'!$A27,'Historic Fee Rates'!$A$9:$A$36,0))</f>
        <v>33.699999999999996</v>
      </c>
    </row>
    <row r="28" spans="1:13" ht="15">
      <c r="A28" s="939" t="str">
        <f>+'Historic Fee Rates'!A36</f>
        <v>Coloured Glass</v>
      </c>
      <c r="B28" s="648">
        <f>+INDEX('Historic Fee Rates'!C$9:C$36,MATCH('Graph Data'!$A28,'Historic Fee Rates'!$A$9:$A$36,0))</f>
        <v>39.16</v>
      </c>
      <c r="C28" s="648">
        <f>+INDEX('Historic Fee Rates'!D$9:D$36,MATCH('Graph Data'!$A28,'Historic Fee Rates'!$A$9:$A$36,0))</f>
        <v>44.32</v>
      </c>
      <c r="D28" s="648">
        <f>+INDEX('Historic Fee Rates'!E$9:E$36,MATCH('Graph Data'!$A28,'Historic Fee Rates'!$A$9:$A$36,0))</f>
        <v>36.02415673609086</v>
      </c>
      <c r="E28" s="648">
        <f>+INDEX('Historic Fee Rates'!F$9:F$36,MATCH('Graph Data'!$A28,'Historic Fee Rates'!$A$9:$A$36,0))</f>
        <v>40.76751128855327</v>
      </c>
      <c r="F28" s="648">
        <f>+INDEX('Historic Fee Rates'!G$9:G$36,MATCH('Graph Data'!$A28,'Historic Fee Rates'!$A$9:$A$36,0))</f>
        <v>39.76028107810004</v>
      </c>
      <c r="G28" s="648">
        <f>+INDEX('Historic Fee Rates'!H$9:H$36,MATCH('Graph Data'!$A28,'Historic Fee Rates'!$A$9:$A$36,0))</f>
        <v>43.43895222844472</v>
      </c>
      <c r="H28" s="648">
        <f>+INDEX('Historic Fee Rates'!I$9:I$36,MATCH('Graph Data'!$A28,'Historic Fee Rates'!$A$9:$A$36,0))</f>
        <v>41</v>
      </c>
      <c r="I28" s="648">
        <f>+INDEX('Historic Fee Rates'!J$9:J$36,MATCH('Graph Data'!$A28,'Historic Fee Rates'!$A$9:$A$36,0))</f>
        <v>53.5</v>
      </c>
      <c r="J28" s="648">
        <f>+INDEX('Historic Fee Rates'!K$9:K$36,MATCH('Graph Data'!$A28,'Historic Fee Rates'!$A$9:$A$36,0))</f>
        <v>38.3</v>
      </c>
      <c r="K28" s="648">
        <f>+INDEX('Historic Fee Rates'!L$9:L$36,MATCH('Graph Data'!$A28,'Historic Fee Rates'!$A$9:$A$36,0))</f>
        <v>48.4</v>
      </c>
      <c r="L28" s="648">
        <f>+INDEX('Historic Fee Rates'!M$9:M$36,MATCH('Graph Data'!$A28,'Historic Fee Rates'!$A$9:$A$36,0))</f>
        <v>43.599999999999994</v>
      </c>
      <c r="M28" s="648">
        <f>+INDEX('Historic Fee Rates'!N$9:N$36,MATCH('Graph Data'!$A28,'Historic Fee Rates'!$A$9:$A$36,0))</f>
        <v>36.5</v>
      </c>
    </row>
    <row r="29" ht="15">
      <c r="A29" s="939"/>
    </row>
    <row r="30" ht="15">
      <c r="A30" s="939"/>
    </row>
  </sheetData>
  <sheetProtection password="D6C3" sheet="1"/>
  <printOptions/>
  <pageMargins left="0.7480314960629921" right="0.7480314960629921" top="0.984251968503937" bottom="0.984251968503937" header="0.5118110236220472" footer="0.5118110236220472"/>
  <pageSetup fitToHeight="1" fitToWidth="1" horizontalDpi="600" verticalDpi="600" orientation="landscape" scale="49" r:id="rId1"/>
  <headerFooter alignWithMargins="0">
    <oddFooter>&amp;L&amp;12Steward Fee-Setting&amp;R&amp;12Stewardship Ontario,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Fernandez</cp:lastModifiedBy>
  <cp:lastPrinted>2013-07-08T15:01:35Z</cp:lastPrinted>
  <dcterms:created xsi:type="dcterms:W3CDTF">2002-10-29T15:27:24Z</dcterms:created>
  <dcterms:modified xsi:type="dcterms:W3CDTF">2014-12-18T18:51:06Z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2015_PIM.xls</vt:lpwstr>
  </property>
</Properties>
</file>